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 defaultThemeVersion="153222"/>
  <mc:AlternateContent xmlns:mc="http://schemas.openxmlformats.org/markup-compatibility/2006">
    <mc:Choice Requires="x15">
      <x15ac:absPath xmlns:x15ac="http://schemas.microsoft.com/office/spreadsheetml/2010/11/ac" url="D:\BSCE\BSCE\Kalkulacije 2024\"/>
    </mc:Choice>
  </mc:AlternateContent>
  <workbookProtection workbookAlgorithmName="SHA-512" workbookHashValue="kPOitSWfmlJyvQYDkkuQaL/2e9hw4kh5fD5bxxTKEDkL6ZgXXJjGHkd/LnYh6ItRzCHBZ2R3g+vZPhfa6n2G3A==" workbookSaltValue="jgQcuxFzbsiV0SW8PSCurw==" workbookSpinCount="100000" lockStructure="1"/>
  <bookViews>
    <workbookView xWindow="0" yWindow="0" windowWidth="23040" windowHeight="8784" activeTab="5"/>
  </bookViews>
  <sheets>
    <sheet name="skupaj vsi sklopi" sheetId="11" r:id="rId1"/>
    <sheet name="SKLOP 1" sheetId="7" r:id="rId2"/>
    <sheet name="SKLOP 2 " sheetId="8" r:id="rId3"/>
    <sheet name="SKLOP 3" sheetId="9" r:id="rId4"/>
    <sheet name="SKLOP 4" sheetId="10" r:id="rId5"/>
    <sheet name="Spec. opreme po objektih" sheetId="4" r:id="rId6"/>
  </sheets>
  <calcPr calcId="162913" iterateDelta="9.9999999999999959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6" i="4" l="1"/>
  <c r="M36" i="4"/>
  <c r="N5" i="4"/>
  <c r="N6" i="4"/>
  <c r="N4" i="4"/>
  <c r="N12" i="4"/>
  <c r="N7" i="4"/>
  <c r="N17" i="4"/>
  <c r="N8" i="4"/>
  <c r="N9" i="4"/>
  <c r="N10" i="4"/>
  <c r="N11" i="4"/>
  <c r="N13" i="4"/>
  <c r="N14" i="4"/>
  <c r="N15" i="4"/>
  <c r="N16" i="4"/>
  <c r="N19" i="4"/>
  <c r="N22" i="4"/>
  <c r="N18" i="4"/>
  <c r="N23" i="4"/>
  <c r="N20" i="4"/>
  <c r="N21" i="4"/>
  <c r="N33" i="4"/>
  <c r="N24" i="4"/>
  <c r="N27" i="4"/>
  <c r="N25" i="4"/>
  <c r="N26" i="4"/>
  <c r="N34" i="4"/>
  <c r="N28" i="4"/>
  <c r="N29" i="4"/>
  <c r="N30" i="4"/>
  <c r="N31" i="4"/>
  <c r="N32" i="4"/>
  <c r="N35" i="4"/>
  <c r="N36" i="4" l="1"/>
  <c r="U36" i="4"/>
  <c r="G4" i="4" l="1"/>
  <c r="AB35" i="4" l="1"/>
  <c r="AB4" i="4"/>
  <c r="G6" i="10" s="1"/>
  <c r="AB12" i="4"/>
  <c r="G7" i="10" s="1"/>
  <c r="AB7" i="4"/>
  <c r="G8" i="10" s="1"/>
  <c r="AB17" i="4"/>
  <c r="G9" i="10" s="1"/>
  <c r="AB9" i="4"/>
  <c r="G11" i="10" s="1"/>
  <c r="AB10" i="4"/>
  <c r="G12" i="10" s="1"/>
  <c r="AB11" i="4"/>
  <c r="G13" i="10" s="1"/>
  <c r="AB13" i="4"/>
  <c r="G14" i="10" s="1"/>
  <c r="AB14" i="4"/>
  <c r="G15" i="10" s="1"/>
  <c r="AB15" i="4"/>
  <c r="G16" i="10" s="1"/>
  <c r="AB16" i="4"/>
  <c r="G17" i="10" s="1"/>
  <c r="AB19" i="4"/>
  <c r="G18" i="10" s="1"/>
  <c r="AB22" i="4"/>
  <c r="G19" i="10" s="1"/>
  <c r="AB18" i="4"/>
  <c r="G20" i="10" s="1"/>
  <c r="AB23" i="4"/>
  <c r="G21" i="10" s="1"/>
  <c r="AB20" i="4"/>
  <c r="G22" i="10" s="1"/>
  <c r="AB21" i="4"/>
  <c r="G23" i="10" s="1"/>
  <c r="AB27" i="4"/>
  <c r="G6" i="9" s="1"/>
  <c r="AB33" i="4"/>
  <c r="G24" i="10" s="1"/>
  <c r="AB24" i="4"/>
  <c r="G25" i="10" s="1"/>
  <c r="AB25" i="4"/>
  <c r="G26" i="10" s="1"/>
  <c r="AB26" i="4"/>
  <c r="G27" i="10" s="1"/>
  <c r="AB34" i="4"/>
  <c r="G28" i="10" s="1"/>
  <c r="AB28" i="4"/>
  <c r="G29" i="10" s="1"/>
  <c r="AB29" i="4"/>
  <c r="G30" i="10" s="1"/>
  <c r="AB30" i="4"/>
  <c r="G31" i="10" s="1"/>
  <c r="AB31" i="4"/>
  <c r="G32" i="10" s="1"/>
  <c r="AB32" i="4"/>
  <c r="G33" i="10" s="1"/>
  <c r="AB5" i="4"/>
  <c r="G5" i="9" s="1"/>
  <c r="AB6" i="4"/>
  <c r="AB8" i="4"/>
  <c r="G10" i="10" l="1"/>
  <c r="H10" i="10" s="1"/>
  <c r="G5" i="10"/>
  <c r="H5" i="10" s="1"/>
  <c r="I5" i="10" s="1"/>
  <c r="H28" i="10"/>
  <c r="I28" i="10" s="1"/>
  <c r="J28" i="10" s="1"/>
  <c r="H27" i="10"/>
  <c r="I27" i="10" s="1"/>
  <c r="J27" i="10" s="1"/>
  <c r="H15" i="10"/>
  <c r="I15" i="10" s="1"/>
  <c r="J15" i="10" s="1"/>
  <c r="H33" i="10"/>
  <c r="I33" i="10" s="1"/>
  <c r="J33" i="10" s="1"/>
  <c r="H14" i="10"/>
  <c r="I14" i="10" s="1"/>
  <c r="J14" i="10" s="1"/>
  <c r="H6" i="10"/>
  <c r="I6" i="10" s="1"/>
  <c r="J6" i="10" s="1"/>
  <c r="H29" i="10"/>
  <c r="I29" i="10" s="1"/>
  <c r="J29" i="10" s="1"/>
  <c r="H32" i="10"/>
  <c r="I32" i="10" s="1"/>
  <c r="J32" i="10" s="1"/>
  <c r="H13" i="10"/>
  <c r="I13" i="10" s="1"/>
  <c r="J13" i="10" s="1"/>
  <c r="H31" i="10"/>
  <c r="I31" i="10" s="1"/>
  <c r="J31" i="10" s="1"/>
  <c r="H22" i="10"/>
  <c r="I22" i="10" s="1"/>
  <c r="J22" i="10" s="1"/>
  <c r="H30" i="10"/>
  <c r="I30" i="10" s="1"/>
  <c r="J30" i="10" s="1"/>
  <c r="H8" i="10"/>
  <c r="AB36" i="4"/>
  <c r="H6" i="9"/>
  <c r="I6" i="9" s="1"/>
  <c r="J6" i="9" s="1"/>
  <c r="H12" i="10"/>
  <c r="H11" i="10"/>
  <c r="H5" i="9"/>
  <c r="I5" i="9" s="1"/>
  <c r="J5" i="9" s="1"/>
  <c r="G5" i="7"/>
  <c r="G8" i="7"/>
  <c r="H8" i="7" s="1"/>
  <c r="I8" i="7" s="1"/>
  <c r="J8" i="7" s="1"/>
  <c r="G6" i="7"/>
  <c r="G7" i="7"/>
  <c r="H18" i="10" l="1"/>
  <c r="I18" i="10" s="1"/>
  <c r="J18" i="10" s="1"/>
  <c r="H26" i="10"/>
  <c r="I26" i="10" s="1"/>
  <c r="J26" i="10" s="1"/>
  <c r="H23" i="10"/>
  <c r="I23" i="10" s="1"/>
  <c r="J23" i="10" s="1"/>
  <c r="H19" i="10"/>
  <c r="I19" i="10" s="1"/>
  <c r="J19" i="10" s="1"/>
  <c r="H16" i="10"/>
  <c r="I16" i="10" s="1"/>
  <c r="J16" i="10" s="1"/>
  <c r="H20" i="10"/>
  <c r="I20" i="10" s="1"/>
  <c r="J20" i="10" s="1"/>
  <c r="H25" i="10"/>
  <c r="I25" i="10" s="1"/>
  <c r="J25" i="10" s="1"/>
  <c r="H17" i="10"/>
  <c r="I17" i="10" s="1"/>
  <c r="J17" i="10" s="1"/>
  <c r="H9" i="10"/>
  <c r="I9" i="10" s="1"/>
  <c r="J9" i="10" s="1"/>
  <c r="H24" i="10"/>
  <c r="I24" i="10" s="1"/>
  <c r="J24" i="10" s="1"/>
  <c r="H7" i="10"/>
  <c r="I7" i="10" s="1"/>
  <c r="J7" i="10" s="1"/>
  <c r="H21" i="10"/>
  <c r="I21" i="10" s="1"/>
  <c r="J21" i="10" s="1"/>
  <c r="I8" i="10"/>
  <c r="J8" i="10" s="1"/>
  <c r="J5" i="10"/>
  <c r="I10" i="10"/>
  <c r="J10" i="10" s="1"/>
  <c r="I11" i="10"/>
  <c r="J11" i="10" s="1"/>
  <c r="I12" i="10"/>
  <c r="J12" i="10" s="1"/>
  <c r="G9" i="8"/>
  <c r="H9" i="8" s="1"/>
  <c r="I9" i="8" s="1"/>
  <c r="J9" i="8" s="1"/>
  <c r="G8" i="8"/>
  <c r="G11" i="8"/>
  <c r="H11" i="8" s="1"/>
  <c r="I11" i="8" s="1"/>
  <c r="J11" i="8" s="1"/>
  <c r="G7" i="8"/>
  <c r="H7" i="8" s="1"/>
  <c r="I7" i="8" s="1"/>
  <c r="J7" i="8" s="1"/>
  <c r="G6" i="8"/>
  <c r="H6" i="8" s="1"/>
  <c r="I6" i="8" s="1"/>
  <c r="J6" i="8" s="1"/>
  <c r="G10" i="8"/>
  <c r="H10" i="8" s="1"/>
  <c r="I10" i="8" s="1"/>
  <c r="J10" i="8" s="1"/>
  <c r="G5" i="8"/>
  <c r="H5" i="8" s="1"/>
  <c r="I5" i="8" s="1"/>
  <c r="J5" i="8" s="1"/>
  <c r="H5" i="7"/>
  <c r="H7" i="7"/>
  <c r="I7" i="7" s="1"/>
  <c r="J7" i="7" s="1"/>
  <c r="H6" i="7"/>
  <c r="I6" i="7" s="1"/>
  <c r="J6" i="7" s="1"/>
  <c r="I7" i="9"/>
  <c r="J7" i="9"/>
  <c r="H34" i="10" l="1"/>
  <c r="C7" i="11" s="1"/>
  <c r="J34" i="10"/>
  <c r="I34" i="10"/>
  <c r="I5" i="7"/>
  <c r="H9" i="7"/>
  <c r="C4" i="11" s="1"/>
  <c r="H8" i="8"/>
  <c r="H12" i="8" s="1"/>
  <c r="C5" i="11" s="1"/>
  <c r="H7" i="9"/>
  <c r="C6" i="11" s="1"/>
  <c r="D6" i="11" s="1"/>
  <c r="D7" i="11" l="1"/>
  <c r="E7" i="11" s="1"/>
  <c r="E6" i="11"/>
  <c r="J5" i="7"/>
  <c r="J9" i="7" s="1"/>
  <c r="I9" i="7"/>
  <c r="I8" i="8"/>
  <c r="I12" i="8"/>
  <c r="D5" i="11"/>
  <c r="E5" i="11" s="1"/>
  <c r="J12" i="8" l="1"/>
  <c r="J8" i="8"/>
  <c r="C8" i="11"/>
  <c r="D4" i="11"/>
  <c r="E4" i="11" l="1"/>
  <c r="E8" i="11" s="1"/>
  <c r="D8" i="11"/>
</calcChain>
</file>

<file path=xl/sharedStrings.xml><?xml version="1.0" encoding="utf-8"?>
<sst xmlns="http://schemas.openxmlformats.org/spreadsheetml/2006/main" count="669" uniqueCount="175">
  <si>
    <t>POŽAR</t>
  </si>
  <si>
    <t>GSM</t>
  </si>
  <si>
    <t>041 925 547</t>
  </si>
  <si>
    <t>Boštjan Albreht</t>
  </si>
  <si>
    <t>031 685 580</t>
  </si>
  <si>
    <t>041 360 967</t>
  </si>
  <si>
    <t>041 576 200</t>
  </si>
  <si>
    <t>041 945 784</t>
  </si>
  <si>
    <t>Roman Hočevar</t>
  </si>
  <si>
    <t>051 684 409</t>
  </si>
  <si>
    <t>041 672 354</t>
  </si>
  <si>
    <t>031 357 137</t>
  </si>
  <si>
    <t>041 780 050</t>
  </si>
  <si>
    <t>Tomas Tišler</t>
  </si>
  <si>
    <t>051 495 253</t>
  </si>
  <si>
    <t>041 385 291</t>
  </si>
  <si>
    <t>051 653 563</t>
  </si>
  <si>
    <t>HALA TIVOLI</t>
  </si>
  <si>
    <t>x</t>
  </si>
  <si>
    <t>STRELIŠČE LJUBLJANA (centrala 1)</t>
  </si>
  <si>
    <t>STRELIŠČE LJUBLJANA (centrala 2)</t>
  </si>
  <si>
    <t>ŠPORTNI PARK SVOBODA</t>
  </si>
  <si>
    <t>ŠPORTNI PARK KODELJEVO (LOKALI)</t>
  </si>
  <si>
    <t>ŠPORTNI PARK KODELJEVO (TENIS)</t>
  </si>
  <si>
    <t>ŠPORTNI PARK KODELJEVO (KOŠARKA)</t>
  </si>
  <si>
    <t>DVORANA KODELJEVO</t>
  </si>
  <si>
    <t>ŠPORTNI PARK KODELJEVO (VELIKA DVORANA)</t>
  </si>
  <si>
    <t>ŠPORTNI PARK KODELJEVO (NOGOMET)</t>
  </si>
  <si>
    <t>ŠPORTNI PARK KODELJEVO (HANGAR)</t>
  </si>
  <si>
    <t xml:space="preserve">KOPALIŠČE KOLEZIJA </t>
  </si>
  <si>
    <t>DVORANA ZALOG</t>
  </si>
  <si>
    <t>GIMNASTIČNI CENTER</t>
  </si>
  <si>
    <t>ŠPORTNA DVORANA KRIM</t>
  </si>
  <si>
    <t>DVORANA JEŽICA</t>
  </si>
  <si>
    <t>DVORANA JEŽICA (GARAŽA)</t>
  </si>
  <si>
    <t>MLADINSKI GOLF CENTER STANEŽIČE</t>
  </si>
  <si>
    <t>KEGLJIŠČE IN DVORANA STANIČEVA</t>
  </si>
  <si>
    <t>HIPODROM STOŽICE</t>
  </si>
  <si>
    <t>KOPALIŠČE KODELJEVO (LETNI BAZEN)</t>
  </si>
  <si>
    <t>KOPALIŠČE KODELJEVO</t>
  </si>
  <si>
    <t>KOPALIŠČE KODELJEVO (ZIMSKI BAZEN)</t>
  </si>
  <si>
    <t>SKAKALNI CENTER MOSTEC</t>
  </si>
  <si>
    <t>vlom</t>
  </si>
  <si>
    <t>Siemens</t>
  </si>
  <si>
    <t>video</t>
  </si>
  <si>
    <t>DVC</t>
  </si>
  <si>
    <t>Kontaktna oseba</t>
  </si>
  <si>
    <t>Paradox SP 4000</t>
  </si>
  <si>
    <t>PCS 250</t>
  </si>
  <si>
    <t>Paradox HD 192</t>
  </si>
  <si>
    <t>DSC-1864</t>
  </si>
  <si>
    <t>041 289 176</t>
  </si>
  <si>
    <t>BOSH</t>
  </si>
  <si>
    <t>Elkron FAP 54</t>
  </si>
  <si>
    <t xml:space="preserve">Elkron </t>
  </si>
  <si>
    <t>Gaser Katarina</t>
  </si>
  <si>
    <t>Franetič Aleš</t>
  </si>
  <si>
    <t>št. adres</t>
  </si>
  <si>
    <t>št. linij</t>
  </si>
  <si>
    <t>Objekt/Naziv</t>
  </si>
  <si>
    <t>Odd. Prikaz.</t>
  </si>
  <si>
    <t>IP prenos</t>
  </si>
  <si>
    <t>Bosh</t>
  </si>
  <si>
    <t>Paradox</t>
  </si>
  <si>
    <t>PSTN/ ISDN</t>
  </si>
  <si>
    <t xml:space="preserve">Bosh </t>
  </si>
  <si>
    <t>Hikvision</t>
  </si>
  <si>
    <t>Satel</t>
  </si>
  <si>
    <t>Inim Smart line</t>
  </si>
  <si>
    <t>Končan Mojca</t>
  </si>
  <si>
    <t>041 360967</t>
  </si>
  <si>
    <t>Matej Trobec</t>
  </si>
  <si>
    <t>Bosch FPA 5000</t>
  </si>
  <si>
    <t>infranet</t>
  </si>
  <si>
    <t>Paradox SP 4001</t>
  </si>
  <si>
    <t>Hochiki Advanced 5404</t>
  </si>
  <si>
    <t>CP plus UVR</t>
  </si>
  <si>
    <t>Hajrič Samir</t>
  </si>
  <si>
    <t xml:space="preserve">Paradox </t>
  </si>
  <si>
    <t>Ademco Vista 50</t>
  </si>
  <si>
    <t>Kastelic Andrej</t>
  </si>
  <si>
    <t>Bosch 4700</t>
  </si>
  <si>
    <t>Kolenc Zoran</t>
  </si>
  <si>
    <t>Husar Gregor</t>
  </si>
  <si>
    <t>Inim smart Loop, ni PG o vzdrž.</t>
  </si>
  <si>
    <t xml:space="preserve">DSC-1864 </t>
  </si>
  <si>
    <t>ŠPORTNI PARK LJUBLJANA (Trikotnik Lokal)</t>
  </si>
  <si>
    <t>ŠPORTNI PARK LJUBLJANA (GARAŽE+STADION)</t>
  </si>
  <si>
    <t>Siemens Cerberus FC724</t>
  </si>
  <si>
    <t xml:space="preserve">Siemens </t>
  </si>
  <si>
    <t>Dahua</t>
  </si>
  <si>
    <t>dsc hs 3248</t>
  </si>
  <si>
    <t>dsc tl 405-le</t>
  </si>
  <si>
    <t>DA</t>
  </si>
  <si>
    <t>SALMIČ Kristijan</t>
  </si>
  <si>
    <t>GARAŽA IN SKATE PARK STOŽICE</t>
  </si>
  <si>
    <t>2 kom SCHRAK</t>
  </si>
  <si>
    <t>3 kom SCHRAK</t>
  </si>
  <si>
    <t>DVORANA IN STADION STOŽICE</t>
  </si>
  <si>
    <t>ŠPORTNI PARK KODELJEVO BAR)</t>
  </si>
  <si>
    <t>HIPODROM STOŽICE-Lokal</t>
  </si>
  <si>
    <t>Paradox EVO</t>
  </si>
  <si>
    <t>DVORANA ČRNUČE Maks Pečar</t>
  </si>
  <si>
    <t>Paradox SP EVO 192</t>
  </si>
  <si>
    <t>Siemens SPC 5320</t>
  </si>
  <si>
    <t>EVO 192</t>
  </si>
  <si>
    <t>IP 150+</t>
  </si>
  <si>
    <t>sklop</t>
  </si>
  <si>
    <t>GSM10</t>
  </si>
  <si>
    <t xml:space="preserve">Naslov </t>
  </si>
  <si>
    <t>CELOVŠKA CESTA 25, 1000 LJUBLJANA</t>
  </si>
  <si>
    <t>VOJKOVA CESTA 100, 1000 LJUBLJANA</t>
  </si>
  <si>
    <t>DOLENJSKA CESTA 11, 1000 LJUBLJANA</t>
  </si>
  <si>
    <t>GERBIČEVA ULICA 61, 1000 LJUBLJANA</t>
  </si>
  <si>
    <t>GORTANOVA ULICA 21, 1000 LJUBLJANA</t>
  </si>
  <si>
    <t>ČRNUŠKA CESTA 9, 1000 LJUBLJANA</t>
  </si>
  <si>
    <t>HLADILNIŠKA POT 36, 1000 LJUBLJANA</t>
  </si>
  <si>
    <t>MILČINSKEGA ULICA 2, 1000 LJUBLJANA</t>
  </si>
  <si>
    <t>GUNDULIČEVA ULICA 7, 1000 LJUBLJANA</t>
  </si>
  <si>
    <t>KOPRSKA ULICA 29, 1000 LJUBLJANA</t>
  </si>
  <si>
    <t>SAVLJE 6, 1000 LJUBLJANA</t>
  </si>
  <si>
    <t>STANEŽIČE, 1000 LJUBLJANA</t>
  </si>
  <si>
    <t>NA GAJU 2, 1000 LJUBLJANA</t>
  </si>
  <si>
    <t>STOŽICE 28, 1000 LJUBLJANA</t>
  </si>
  <si>
    <t>ULICA CARLA BENZA 11, 1000 LJUBLJANA</t>
  </si>
  <si>
    <t>OB DOLENJSKI ŽELEZNICI 50, 1000 LJUBLJANA</t>
  </si>
  <si>
    <t>STANIČEVA ULICA 41, 1000 LJUBLJANA</t>
  </si>
  <si>
    <t>, 1000 LJUBLJANA</t>
  </si>
  <si>
    <t>Z.Š.</t>
  </si>
  <si>
    <t>SKLOP 1 - Servis in vzdrževanje sistemov AOJP v dvoranah Stožice, Tivoli in Brod</t>
  </si>
  <si>
    <t>em</t>
  </si>
  <si>
    <t>cena/em</t>
  </si>
  <si>
    <t>Cena skupaj v EUR brez DDV / leto</t>
  </si>
  <si>
    <t>SKLOP 2 - Servis in vzdrževanje sistemov AOJP na preostalih objektih naročnika</t>
  </si>
  <si>
    <t>SKLOP 4 - Servis in vzdrževanje sistema za javljanje vloma in sistema videonadzora v preostalih objektih naročnika</t>
  </si>
  <si>
    <t>Št. vzdrž. pregledov/letno</t>
  </si>
  <si>
    <t>DVORANA VIŽMARJE BROD</t>
  </si>
  <si>
    <t>cena</t>
  </si>
  <si>
    <t>Cena v EUR z DDV /4  leta</t>
  </si>
  <si>
    <t>pregled</t>
  </si>
  <si>
    <t>št. pregledo /leto</t>
  </si>
  <si>
    <t>Cena v EUR brez DDV /4  leta</t>
  </si>
  <si>
    <t>SKLOP 1</t>
  </si>
  <si>
    <t>SKLOP 2</t>
  </si>
  <si>
    <t>SKLOP 3</t>
  </si>
  <si>
    <t>SKLOP 4</t>
  </si>
  <si>
    <t>REKAPITULACIJA PO SKLOPIH</t>
  </si>
  <si>
    <t>SKUPAJ</t>
  </si>
  <si>
    <t>vlom video skupaj</t>
  </si>
  <si>
    <t>Vsota</t>
  </si>
  <si>
    <t>SKLOP 3 - Servis in vzdrževanje sistema za javljanje vloma in sistema videonadzora Stožice, Brod</t>
  </si>
  <si>
    <t>VZDRŽEVANJE</t>
  </si>
  <si>
    <t>VZDRŽEVANJE SKLOP 1:</t>
  </si>
  <si>
    <t>VZDRŽEVANJE SKLOP 2:</t>
  </si>
  <si>
    <t>VZDRŽEVANJE SKLOP 3:</t>
  </si>
  <si>
    <t>VZDRŽEVANJE SKLOP 4:</t>
  </si>
  <si>
    <t>Cena/pregled (požar)</t>
  </si>
  <si>
    <t>Cena/pregled (vlom)</t>
  </si>
  <si>
    <t>cena/pregled (video)</t>
  </si>
  <si>
    <t>zunanje kamere</t>
  </si>
  <si>
    <t>notranje kamere</t>
  </si>
  <si>
    <t>št. kanalov</t>
  </si>
  <si>
    <t>št. snemlanikov</t>
  </si>
  <si>
    <t>tip centrale</t>
  </si>
  <si>
    <t>tip snemalnika</t>
  </si>
  <si>
    <t>št. tipkovnic</t>
  </si>
  <si>
    <t>št. razš. modulov</t>
  </si>
  <si>
    <t>tip  komunikatorja</t>
  </si>
  <si>
    <t xml:space="preserve">Tip centrale </t>
  </si>
  <si>
    <t>št. javljalnikov</t>
  </si>
  <si>
    <t>št. ročnih</t>
  </si>
  <si>
    <t>št. modulov</t>
  </si>
  <si>
    <t>št. siren</t>
  </si>
  <si>
    <t>Uršič Gašper</t>
  </si>
  <si>
    <t>070 435 824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</si>
</sst>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[$€-424]_-;\-* #,##0.00\ [$€-424]_-;_-* &quot;-&quot;??\ [$€-424]_-;_-@_-"/>
    <numFmt numFmtId="165" formatCode="_-* #,##0\ [$€-424]_-;\-* #,##0\ [$€-424]_-;_-* &quot;-&quot;??\ [$€-424]_-;_-@_-"/>
    <numFmt numFmtId="166" formatCode="#,##0.00_ ;\-#,##0.0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1"/>
      <color theme="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2" fillId="0" borderId="1" xfId="0" applyFont="1" applyFill="1" applyBorder="1"/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/>
    <xf numFmtId="0" fontId="0" fillId="0" borderId="0" xfId="0" applyAlignment="1">
      <alignment wrapText="1"/>
    </xf>
    <xf numFmtId="0" fontId="4" fillId="5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4" fillId="4" borderId="1" xfId="0" applyFont="1" applyFill="1" applyBorder="1"/>
    <xf numFmtId="0" fontId="4" fillId="6" borderId="1" xfId="0" applyFont="1" applyFill="1" applyBorder="1"/>
    <xf numFmtId="0" fontId="4" fillId="6" borderId="1" xfId="0" applyFont="1" applyFill="1" applyBorder="1" applyAlignment="1">
      <alignment wrapText="1"/>
    </xf>
    <xf numFmtId="0" fontId="5" fillId="5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5" fillId="5" borderId="3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wrapText="1"/>
    </xf>
    <xf numFmtId="0" fontId="4" fillId="5" borderId="2" xfId="0" applyFont="1" applyFill="1" applyBorder="1"/>
    <xf numFmtId="0" fontId="2" fillId="2" borderId="8" xfId="0" applyFont="1" applyFill="1" applyBorder="1" applyAlignment="1">
      <alignment wrapText="1"/>
    </xf>
    <xf numFmtId="0" fontId="4" fillId="2" borderId="1" xfId="0" applyFont="1" applyFill="1" applyBorder="1"/>
    <xf numFmtId="0" fontId="0" fillId="2" borderId="0" xfId="0" applyFill="1"/>
    <xf numFmtId="0" fontId="9" fillId="0" borderId="0" xfId="0" applyFont="1"/>
    <xf numFmtId="44" fontId="4" fillId="2" borderId="1" xfId="1" applyFont="1" applyFill="1" applyBorder="1"/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2" fillId="2" borderId="1" xfId="0" applyFont="1" applyFill="1" applyBorder="1"/>
    <xf numFmtId="0" fontId="3" fillId="2" borderId="8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3" fillId="2" borderId="1" xfId="0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2" fillId="0" borderId="11" xfId="0" applyFont="1" applyFill="1" applyBorder="1"/>
    <xf numFmtId="0" fontId="4" fillId="2" borderId="11" xfId="0" applyFont="1" applyFill="1" applyBorder="1" applyAlignment="1">
      <alignment wrapText="1"/>
    </xf>
    <xf numFmtId="0" fontId="3" fillId="0" borderId="11" xfId="0" applyFont="1" applyFill="1" applyBorder="1"/>
    <xf numFmtId="0" fontId="4" fillId="2" borderId="10" xfId="0" applyFont="1" applyFill="1" applyBorder="1"/>
    <xf numFmtId="0" fontId="6" fillId="2" borderId="2" xfId="0" applyFont="1" applyFill="1" applyBorder="1"/>
    <xf numFmtId="44" fontId="6" fillId="2" borderId="2" xfId="1" applyFont="1" applyFill="1" applyBorder="1"/>
    <xf numFmtId="0" fontId="0" fillId="2" borderId="11" xfId="0" applyFill="1" applyBorder="1"/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5" fillId="4" borderId="3" xfId="0" applyFont="1" applyFill="1" applyBorder="1" applyAlignment="1">
      <alignment horizontal="center" wrapText="1"/>
    </xf>
    <xf numFmtId="0" fontId="5" fillId="6" borderId="3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7" borderId="1" xfId="0" applyFont="1" applyFill="1" applyBorder="1"/>
    <xf numFmtId="0" fontId="4" fillId="4" borderId="2" xfId="0" applyFont="1" applyFill="1" applyBorder="1"/>
    <xf numFmtId="0" fontId="4" fillId="4" borderId="2" xfId="0" applyFont="1" applyFill="1" applyBorder="1" applyAlignment="1">
      <alignment wrapText="1"/>
    </xf>
    <xf numFmtId="0" fontId="4" fillId="6" borderId="2" xfId="0" applyFont="1" applyFill="1" applyBorder="1"/>
    <xf numFmtId="0" fontId="4" fillId="7" borderId="2" xfId="0" applyFont="1" applyFill="1" applyBorder="1" applyAlignment="1">
      <alignment wrapText="1"/>
    </xf>
    <xf numFmtId="0" fontId="4" fillId="7" borderId="2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165" fontId="4" fillId="0" borderId="0" xfId="0" applyNumberFormat="1" applyFont="1" applyAlignment="1">
      <alignment wrapText="1"/>
    </xf>
    <xf numFmtId="165" fontId="4" fillId="0" borderId="0" xfId="0" applyNumberFormat="1" applyFont="1"/>
    <xf numFmtId="44" fontId="6" fillId="2" borderId="1" xfId="1" applyFont="1" applyFill="1" applyBorder="1"/>
    <xf numFmtId="44" fontId="4" fillId="0" borderId="1" xfId="1" applyFont="1" applyBorder="1" applyAlignment="1">
      <alignment wrapText="1"/>
    </xf>
    <xf numFmtId="44" fontId="5" fillId="5" borderId="7" xfId="1" applyFont="1" applyFill="1" applyBorder="1" applyAlignment="1">
      <alignment horizontal="center"/>
    </xf>
    <xf numFmtId="44" fontId="4" fillId="0" borderId="0" xfId="1" applyFont="1" applyAlignment="1">
      <alignment wrapText="1"/>
    </xf>
    <xf numFmtId="44" fontId="12" fillId="2" borderId="1" xfId="1" applyFont="1" applyFill="1" applyBorder="1"/>
    <xf numFmtId="0" fontId="3" fillId="0" borderId="10" xfId="0" applyFont="1" applyFill="1" applyBorder="1" applyAlignment="1">
      <alignment wrapText="1"/>
    </xf>
    <xf numFmtId="0" fontId="10" fillId="3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0" xfId="0" applyFont="1" applyBorder="1" applyAlignment="1">
      <alignment wrapText="1"/>
    </xf>
    <xf numFmtId="44" fontId="6" fillId="2" borderId="13" xfId="1" applyFont="1" applyFill="1" applyBorder="1"/>
    <xf numFmtId="44" fontId="6" fillId="2" borderId="3" xfId="1" applyFont="1" applyFill="1" applyBorder="1"/>
    <xf numFmtId="0" fontId="2" fillId="0" borderId="14" xfId="0" applyFont="1" applyFill="1" applyBorder="1"/>
    <xf numFmtId="44" fontId="4" fillId="2" borderId="15" xfId="1" applyFont="1" applyFill="1" applyBorder="1"/>
    <xf numFmtId="0" fontId="11" fillId="0" borderId="14" xfId="0" applyFont="1" applyFill="1" applyBorder="1"/>
    <xf numFmtId="0" fontId="2" fillId="0" borderId="16" xfId="0" applyFont="1" applyFill="1" applyBorder="1"/>
    <xf numFmtId="0" fontId="2" fillId="0" borderId="17" xfId="0" applyFont="1" applyFill="1" applyBorder="1" applyAlignment="1">
      <alignment wrapText="1"/>
    </xf>
    <xf numFmtId="44" fontId="4" fillId="2" borderId="18" xfId="1" applyFont="1" applyFill="1" applyBorder="1"/>
    <xf numFmtId="44" fontId="4" fillId="2" borderId="19" xfId="1" applyFont="1" applyFill="1" applyBorder="1"/>
    <xf numFmtId="0" fontId="4" fillId="0" borderId="0" xfId="0" applyFont="1" applyFill="1" applyBorder="1" applyAlignment="1">
      <alignment wrapText="1"/>
    </xf>
    <xf numFmtId="0" fontId="6" fillId="0" borderId="8" xfId="0" applyFont="1" applyFill="1" applyBorder="1" applyAlignment="1">
      <alignment horizontal="center"/>
    </xf>
    <xf numFmtId="165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0" fontId="6" fillId="8" borderId="3" xfId="0" applyFont="1" applyFill="1" applyBorder="1" applyAlignment="1">
      <alignment wrapText="1"/>
    </xf>
    <xf numFmtId="0" fontId="13" fillId="0" borderId="1" xfId="0" applyFont="1" applyFill="1" applyBorder="1"/>
    <xf numFmtId="164" fontId="4" fillId="5" borderId="1" xfId="0" applyNumberFormat="1" applyFont="1" applyFill="1" applyBorder="1"/>
    <xf numFmtId="0" fontId="3" fillId="2" borderId="10" xfId="0" applyFont="1" applyFill="1" applyBorder="1" applyAlignment="1">
      <alignment wrapText="1"/>
    </xf>
    <xf numFmtId="0" fontId="10" fillId="3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6" fillId="2" borderId="10" xfId="0" applyFont="1" applyFill="1" applyBorder="1"/>
    <xf numFmtId="0" fontId="3" fillId="5" borderId="1" xfId="0" applyFont="1" applyFill="1" applyBorder="1" applyAlignment="1">
      <alignment horizontal="right"/>
    </xf>
    <xf numFmtId="0" fontId="6" fillId="9" borderId="3" xfId="0" applyFont="1" applyFill="1" applyBorder="1" applyAlignment="1">
      <alignment wrapText="1"/>
    </xf>
    <xf numFmtId="164" fontId="4" fillId="8" borderId="1" xfId="0" applyNumberFormat="1" applyFont="1" applyFill="1" applyBorder="1"/>
    <xf numFmtId="0" fontId="4" fillId="7" borderId="21" xfId="0" applyFont="1" applyFill="1" applyBorder="1"/>
    <xf numFmtId="0" fontId="14" fillId="0" borderId="9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3" fillId="0" borderId="21" xfId="0" applyFont="1" applyFill="1" applyBorder="1"/>
    <xf numFmtId="0" fontId="4" fillId="0" borderId="20" xfId="0" applyFont="1" applyBorder="1"/>
    <xf numFmtId="0" fontId="4" fillId="5" borderId="21" xfId="0" applyFont="1" applyFill="1" applyBorder="1"/>
    <xf numFmtId="164" fontId="4" fillId="5" borderId="21" xfId="0" applyNumberFormat="1" applyFont="1" applyFill="1" applyBorder="1"/>
    <xf numFmtId="0" fontId="4" fillId="4" borderId="21" xfId="0" applyFont="1" applyFill="1" applyBorder="1"/>
    <xf numFmtId="0" fontId="4" fillId="4" borderId="21" xfId="0" applyFont="1" applyFill="1" applyBorder="1" applyAlignment="1">
      <alignment wrapText="1"/>
    </xf>
    <xf numFmtId="164" fontId="4" fillId="9" borderId="21" xfId="0" applyNumberFormat="1" applyFont="1" applyFill="1" applyBorder="1"/>
    <xf numFmtId="0" fontId="4" fillId="6" borderId="21" xfId="0" applyFont="1" applyFill="1" applyBorder="1"/>
    <xf numFmtId="164" fontId="4" fillId="8" borderId="21" xfId="0" applyNumberFormat="1" applyFont="1" applyFill="1" applyBorder="1"/>
    <xf numFmtId="0" fontId="4" fillId="7" borderId="21" xfId="0" applyFont="1" applyFill="1" applyBorder="1" applyAlignment="1">
      <alignment wrapText="1"/>
    </xf>
    <xf numFmtId="44" fontId="6" fillId="9" borderId="3" xfId="1" applyFont="1" applyFill="1" applyBorder="1" applyAlignment="1" applyProtection="1">
      <alignment wrapText="1"/>
      <protection locked="0"/>
    </xf>
    <xf numFmtId="166" fontId="3" fillId="9" borderId="1" xfId="1" applyNumberFormat="1" applyFont="1" applyFill="1" applyBorder="1" applyAlignment="1" applyProtection="1">
      <alignment horizontal="center"/>
      <protection locked="0"/>
    </xf>
    <xf numFmtId="166" fontId="4" fillId="9" borderId="21" xfId="0" applyNumberFormat="1" applyFont="1" applyFill="1" applyBorder="1" applyProtection="1">
      <protection locked="0"/>
    </xf>
    <xf numFmtId="166" fontId="4" fillId="9" borderId="21" xfId="0" applyNumberFormat="1" applyFont="1" applyFill="1" applyBorder="1" applyAlignment="1">
      <alignment wrapText="1"/>
    </xf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1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* #,##0.00\ [$€-424]_-;\-* #,##0.00\ [$€-424]_-;_-* &quot;-&quot;??\ [$€-424]_-;_-@_-"/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#,##0.00_ ;\-#,##0.00\ "/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* #,##0.00\ [$€-424]_-;\-* #,##0.00\ [$€-424]_-;_-* &quot;-&quot;??\ [$€-424]_-;_-@_-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* #,##0.00\ [$€-424]_-;\-* #,##0.00\ [$€-424]_-;_-* &quot;-&quot;??\ [$€-424]_-;_-@_-"/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#,##0.00_ ;\-#,##0.00\ 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9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* #,##0.00\ [$€-424]_-;\-* #,##0.00\ [$€-424]_-;_-* &quot;-&quot;??\ [$€-424]_-;_-@_-"/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66" formatCode="#,##0.00_ ;\-#,##0.00\ 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66" formatCode="#,##0.00_ ;\-#,##0.00\ 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4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4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4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4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4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4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* #,##0.00\ [$€-424]_-;\-* #,##0.00\ [$€-424]_-;_-* &quot;-&quot;??\ [$€-424]_-;_-@_-"/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#,##0.00_ ;\-#,##0.00\ 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>
          <fgColor indexed="64"/>
          <bgColor theme="0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5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5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362" displayName="Tabela1362" ref="A3:D8" totalsRowShown="0" headerRowDxfId="125" headerRowBorderDxfId="124" tableBorderDxfId="123" totalsRowBorderDxfId="122">
  <autoFilter ref="A3:D8"/>
  <tableColumns count="4">
    <tableColumn id="44" name="Z.Š." dataDxfId="121"/>
    <tableColumn id="1" name="Objekt/Naziv"/>
    <tableColumn id="11" name="Cena skupaj v EUR brez DDV / leto" dataDxfId="120">
      <calculatedColumnFormula>#REF!*12</calculatedColumnFormula>
    </tableColumn>
    <tableColumn id="12" name="Cena v EUR brez DDV /4  leta" dataDxfId="119">
      <calculatedColumnFormula>Tabela1362[[#This Row],[Cena skupaj v EUR brez DDV / leto]]*4</calculatedColumnFormula>
    </tableColumn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5" name="Tabela136" displayName="Tabela136" ref="A4:I9" totalsRowShown="0" headerRowDxfId="118" headerRowBorderDxfId="117" tableBorderDxfId="116" totalsRowBorderDxfId="115">
  <autoFilter ref="A4:I9"/>
  <sortState ref="A4:AQ34">
    <sortCondition ref="C3:C35"/>
  </sortState>
  <tableColumns count="9">
    <tableColumn id="44" name="Z.Š." dataDxfId="114"/>
    <tableColumn id="1" name="Objekt/Naziv"/>
    <tableColumn id="43" name="Naslov " dataDxfId="113"/>
    <tableColumn id="4" name="sklop" dataDxfId="112"/>
    <tableColumn id="8" name="em" dataDxfId="111"/>
    <tableColumn id="2" name="št. pregledo /leto" dataDxfId="110"/>
    <tableColumn id="9" name="cena/em" dataDxfId="109"/>
    <tableColumn id="11" name="Cena skupaj v EUR brez DDV / leto" dataDxfId="108">
      <calculatedColumnFormula>Tabela136[[#This Row],[cena/em]]*12</calculatedColumnFormula>
    </tableColumn>
    <tableColumn id="12" name="Cena v EUR brez DDV /4  leta" dataDxfId="107">
      <calculatedColumnFormula>Tabela136[[#This Row],[Cena skupaj v EUR brez DDV / leto]]*4</calculatedColumnFormula>
    </tableColumn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6" name="Tabela137" displayName="Tabela137" ref="A4:J12" totalsRowShown="0" headerRowDxfId="106" dataDxfId="104" headerRowBorderDxfId="105" tableBorderDxfId="103" totalsRowBorderDxfId="102">
  <autoFilter ref="A4:J12"/>
  <tableColumns count="10">
    <tableColumn id="44" name="Z.Š." dataDxfId="101"/>
    <tableColumn id="1" name="Objekt/Naziv" dataDxfId="100"/>
    <tableColumn id="43" name="Naslov " dataDxfId="99"/>
    <tableColumn id="4" name="sklop" dataDxfId="98"/>
    <tableColumn id="8" name="em" dataDxfId="97"/>
    <tableColumn id="2" name="št. pregledo /leto" dataDxfId="96"/>
    <tableColumn id="9" name="cena/em" dataDxfId="95"/>
    <tableColumn id="10" name="Cena skupaj v EUR brez DDV / leto" dataDxfId="94">
      <calculatedColumnFormula>Tabela137[[#This Row],[cena/em]]*12</calculatedColumnFormula>
    </tableColumn>
    <tableColumn id="3" name="Cena v EUR brez DDV /4  leta" dataDxfId="93">
      <calculatedColumnFormula>Tabela137[[#This Row],[Cena skupaj v EUR brez DDV / leto]]*4</calculatedColumnFormula>
    </tableColumn>
    <tableColumn id="11" name="Cena v EUR z DDV /4  leta" dataDxfId="92">
      <calculatedColumnFormula>Tabela137[[#This Row],[Cena v EUR brez DDV /4  leta]]*1.22</calculatedColumnFormula>
    </tableColumn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7" name="Tabela1378" displayName="Tabela1378" ref="A4:J7" totalsRowShown="0" headerRowDxfId="91" headerRowBorderDxfId="90" tableBorderDxfId="89" totalsRowBorderDxfId="88">
  <autoFilter ref="A4:J7"/>
  <sortState ref="A4:H35">
    <sortCondition descending="1" ref="D3:D35"/>
  </sortState>
  <tableColumns count="10">
    <tableColumn id="44" name="Z.Š." dataDxfId="87"/>
    <tableColumn id="1" name="Objekt/Naziv"/>
    <tableColumn id="43" name="Naslov " dataDxfId="86"/>
    <tableColumn id="4" name="sklop" dataDxfId="85"/>
    <tableColumn id="8" name="em" dataDxfId="84"/>
    <tableColumn id="2" name="št. pregledo /leto" dataDxfId="83"/>
    <tableColumn id="9" name="cena/em" dataDxfId="82"/>
    <tableColumn id="10" name="Cena skupaj v EUR brez DDV / leto" dataDxfId="81">
      <calculatedColumnFormula>Tabela1378[[#This Row],[cena/em]]*12</calculatedColumnFormula>
    </tableColumn>
    <tableColumn id="3" name="Cena v EUR brez DDV /4  leta" dataDxfId="80"/>
    <tableColumn id="11" name="Cena v EUR z DDV /4  leta" dataDxfId="79">
      <calculatedColumnFormula>Tabela1378[[#This Row],[Cena skupaj v EUR brez DDV / leto]]*1.22</calculatedColumnFormula>
    </tableColumn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8" name="Tabela13789" displayName="Tabela13789" ref="A4:J34" totalsRowShown="0" headerRowDxfId="78" headerRowBorderDxfId="77" tableBorderDxfId="76" totalsRowBorderDxfId="75">
  <autoFilter ref="A4:J34"/>
  <sortState ref="A4:H24">
    <sortCondition ref="C3:C24"/>
  </sortState>
  <tableColumns count="10">
    <tableColumn id="44" name="Z.Š." dataDxfId="74"/>
    <tableColumn id="1" name="Objekt/Naziv" dataDxfId="73"/>
    <tableColumn id="43" name="Naslov " dataDxfId="72"/>
    <tableColumn id="4" name="sklop" dataDxfId="71"/>
    <tableColumn id="8" name="em" dataDxfId="70"/>
    <tableColumn id="2" name="št. pregledo /leto" dataDxfId="69"/>
    <tableColumn id="9" name="cena/em" dataDxfId="68"/>
    <tableColumn id="10" name="Cena skupaj v EUR brez DDV / leto" dataDxfId="67">
      <calculatedColumnFormula>Tabela13789[[#This Row],[cena/em]]*12</calculatedColumnFormula>
    </tableColumn>
    <tableColumn id="3" name="Cena v EUR brez DDV /4  leta" dataDxfId="66"/>
    <tableColumn id="11" name="Cena v EUR z DDV /4  leta" dataDxfId="65">
      <calculatedColumnFormula>Tabela13789[[#This Row],[Cena v EUR brez DDV /4  leta]]*1.22</calculatedColumnFormula>
    </tableColumn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id="2" name="Tabela13" displayName="Tabela13" ref="A3:AD36" totalsRowCount="1" headerRowDxfId="64" dataDxfId="62" headerRowBorderDxfId="63" tableBorderDxfId="61" totalsRowBorderDxfId="60">
  <autoFilter ref="A3:AD35"/>
  <sortState ref="A4:AD35">
    <sortCondition ref="A3:A35"/>
  </sortState>
  <tableColumns count="30">
    <tableColumn id="44" name="Z.Š." totalsRowLabel="Vsota" dataDxfId="59" totalsRowDxfId="29"/>
    <tableColumn id="1" name="Objekt/Naziv" dataDxfId="58" totalsRowDxfId="28"/>
    <tableColumn id="43" name="Naslov " dataDxfId="57" totalsRowDxfId="27"/>
    <tableColumn id="4" name="sklop" dataDxfId="56" totalsRowDxfId="26"/>
    <tableColumn id="8" name="št. adres" dataDxfId="55" totalsRowDxfId="25"/>
    <tableColumn id="9" name="št. siren" dataDxfId="54" totalsRowDxfId="24"/>
    <tableColumn id="10" name="št. modulov" dataDxfId="53" totalsRowDxfId="23"/>
    <tableColumn id="11" name="št. ročnih" dataDxfId="52" totalsRowDxfId="22"/>
    <tableColumn id="12" name="št. javljalnikov" dataDxfId="51" totalsRowDxfId="21"/>
    <tableColumn id="13" name="Odd. Prikaz." dataDxfId="50" totalsRowDxfId="20"/>
    <tableColumn id="14" name="Tip centrale " dataDxfId="49" totalsRowDxfId="19"/>
    <tableColumn id="2" name="Št. vzdrž. pregledov/letno" dataDxfId="48" totalsRowDxfId="18"/>
    <tableColumn id="6" name="Cena/pregled (požar)" totalsRowFunction="sum" dataDxfId="47" totalsRowDxfId="17"/>
    <tableColumn id="5" name="cena" totalsRowFunction="sum" dataDxfId="46" totalsRowDxfId="16">
      <calculatedColumnFormula>Tabela13[[#This Row],[Št. vzdrž. pregledov/letno]]*Tabela13[[#This Row],[Cena/pregled (požar)]]</calculatedColumnFormula>
    </tableColumn>
    <tableColumn id="22" name="št. linij" dataDxfId="45" totalsRowDxfId="15"/>
    <tableColumn id="23" name="št. razš. modulov" dataDxfId="44" totalsRowDxfId="14"/>
    <tableColumn id="24" name="št. tipkovnic" dataDxfId="43" totalsRowDxfId="13"/>
    <tableColumn id="25" name="tip centrale" dataDxfId="42" totalsRowDxfId="12"/>
    <tableColumn id="26" name="tip  komunikatorja" dataDxfId="41" totalsRowDxfId="11"/>
    <tableColumn id="27" name="IP prenos" dataDxfId="40" totalsRowDxfId="10"/>
    <tableColumn id="29" name="Cena/pregled (vlom)" totalsRowFunction="sum" dataDxfId="39" totalsRowDxfId="9"/>
    <tableColumn id="30" name="št. snemlanikov" dataDxfId="38" totalsRowDxfId="8"/>
    <tableColumn id="31" name="št. kanalov" dataDxfId="37" totalsRowDxfId="7"/>
    <tableColumn id="32" name="notranje kamere" dataDxfId="36" totalsRowDxfId="6"/>
    <tableColumn id="33" name="zunanje kamere" dataDxfId="35" totalsRowDxfId="5"/>
    <tableColumn id="34" name="tip snemalnika" dataDxfId="34" totalsRowDxfId="4"/>
    <tableColumn id="36" name="cena/pregled (video)" totalsRowFunction="sum" dataDxfId="33" totalsRowDxfId="3"/>
    <tableColumn id="3" name="vlom video skupaj" totalsRowFunction="sum" dataDxfId="32" totalsRowDxfId="2"/>
    <tableColumn id="40" name="Kontaktna oseba" dataDxfId="31" totalsRowDxfId="1"/>
    <tableColumn id="41" name="GSM10" dataDxfId="30" totalsRow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F8"/>
  <sheetViews>
    <sheetView zoomScaleNormal="100" workbookViewId="0">
      <pane ySplit="3" topLeftCell="A4" activePane="bottomLeft" state="frozen"/>
      <selection activeCell="B18" sqref="B18"/>
      <selection pane="bottomLeft" activeCell="D7" sqref="D7"/>
    </sheetView>
  </sheetViews>
  <sheetFormatPr defaultRowHeight="14.4" x14ac:dyDescent="0.3"/>
  <cols>
    <col min="1" max="1" width="5.88671875" customWidth="1"/>
    <col min="2" max="2" width="40.109375" style="5" customWidth="1"/>
    <col min="3" max="5" width="17.6640625" style="19" customWidth="1"/>
  </cols>
  <sheetData>
    <row r="1" spans="1:6" x14ac:dyDescent="0.3">
      <c r="C1" s="5"/>
      <c r="D1" s="5"/>
      <c r="E1" s="5"/>
      <c r="F1" s="5"/>
    </row>
    <row r="2" spans="1:6" s="1" customFormat="1" ht="18.600000000000001" thickBot="1" x14ac:dyDescent="0.4">
      <c r="A2" s="20" t="s">
        <v>146</v>
      </c>
      <c r="B2" s="7"/>
    </row>
    <row r="3" spans="1:6" s="24" customFormat="1" ht="47.4" thickBot="1" x14ac:dyDescent="0.35">
      <c r="A3" s="71" t="s">
        <v>128</v>
      </c>
      <c r="B3" s="22" t="s">
        <v>59</v>
      </c>
      <c r="C3" s="22" t="s">
        <v>132</v>
      </c>
      <c r="D3" s="23" t="s">
        <v>141</v>
      </c>
      <c r="E3" s="23" t="s">
        <v>138</v>
      </c>
    </row>
    <row r="4" spans="1:6" x14ac:dyDescent="0.3">
      <c r="A4" s="76">
        <v>1</v>
      </c>
      <c r="B4" s="12" t="s">
        <v>142</v>
      </c>
      <c r="C4" s="21">
        <f>'SKLOP 1'!H9</f>
        <v>0</v>
      </c>
      <c r="D4" s="21">
        <f>Tabela1362[[#This Row],[Cena skupaj v EUR brez DDV / leto]]*4</f>
        <v>0</v>
      </c>
      <c r="E4" s="77">
        <f>Tabela1362[[#This Row],[Cena v EUR brez DDV /4  leta]]*1.22</f>
        <v>0</v>
      </c>
    </row>
    <row r="5" spans="1:6" x14ac:dyDescent="0.3">
      <c r="A5" s="76">
        <v>2</v>
      </c>
      <c r="B5" s="12" t="s">
        <v>143</v>
      </c>
      <c r="C5" s="21">
        <f>'SKLOP 2 '!H12</f>
        <v>0</v>
      </c>
      <c r="D5" s="21">
        <f>Tabela1362[[#This Row],[Cena skupaj v EUR brez DDV / leto]]*4</f>
        <v>0</v>
      </c>
      <c r="E5" s="77">
        <f>Tabela1362[[#This Row],[Cena v EUR brez DDV /4  leta]]*1.22</f>
        <v>0</v>
      </c>
    </row>
    <row r="6" spans="1:6" x14ac:dyDescent="0.3">
      <c r="A6" s="78">
        <v>3</v>
      </c>
      <c r="B6" s="12" t="s">
        <v>144</v>
      </c>
      <c r="C6" s="69">
        <f>'SKLOP 3'!H7</f>
        <v>0</v>
      </c>
      <c r="D6" s="21">
        <f>Tabela1362[[#This Row],[Cena skupaj v EUR brez DDV / leto]]*4</f>
        <v>0</v>
      </c>
      <c r="E6" s="77">
        <f>Tabela1362[[#This Row],[Cena v EUR brez DDV /4  leta]]*1.22</f>
        <v>0</v>
      </c>
    </row>
    <row r="7" spans="1:6" ht="15" thickBot="1" x14ac:dyDescent="0.35">
      <c r="A7" s="79">
        <v>4</v>
      </c>
      <c r="B7" s="80" t="s">
        <v>145</v>
      </c>
      <c r="C7" s="81">
        <f>'SKLOP 4'!H34</f>
        <v>0</v>
      </c>
      <c r="D7" s="81">
        <f>Tabela1362[[#This Row],[Cena skupaj v EUR brez DDV / leto]]*4</f>
        <v>0</v>
      </c>
      <c r="E7" s="82">
        <f>Tabela1362[[#This Row],[Cena v EUR brez DDV /4  leta]]*1.22</f>
        <v>0</v>
      </c>
    </row>
    <row r="8" spans="1:6" x14ac:dyDescent="0.3">
      <c r="A8" s="72"/>
      <c r="B8" s="73" t="s">
        <v>147</v>
      </c>
      <c r="C8" s="74">
        <f>SUBTOTAL(109,C4:C7)</f>
        <v>0</v>
      </c>
      <c r="D8" s="74">
        <f>SUBTOTAL(109,D4:D7)</f>
        <v>0</v>
      </c>
      <c r="E8" s="75">
        <f>SUM(E4:E7)</f>
        <v>0</v>
      </c>
    </row>
  </sheetData>
  <sheetProtection algorithmName="SHA-512" hashValue="8nOBvuVyhtbhPxFknvQppdu0yphduGNREdQWi4eHtlJJKfoTF9Vvy+IhPdXDQ9wl4vef2oZJE9uHrPAKYFnqUQ==" saltValue="Q9p9Pd9nnLkDhfNiLTRjXA==" spinCount="100000" sheet="1" objects="1" scenarios="1"/>
  <pageMargins left="0" right="0" top="0" bottom="0" header="0" footer="0"/>
  <pageSetup paperSize="8" scale="51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J10"/>
  <sheetViews>
    <sheetView zoomScaleNormal="100" workbookViewId="0">
      <pane ySplit="4" topLeftCell="A5" activePane="bottomLeft" state="frozen"/>
      <selection activeCell="B18" sqref="B18"/>
      <selection pane="bottomLeft" activeCell="F3" sqref="F3"/>
    </sheetView>
  </sheetViews>
  <sheetFormatPr defaultRowHeight="14.4" x14ac:dyDescent="0.3"/>
  <cols>
    <col min="1" max="1" width="5.88671875" customWidth="1"/>
    <col min="2" max="2" width="40.109375" style="5" customWidth="1"/>
    <col min="3" max="3" width="39.5546875" customWidth="1"/>
    <col min="4" max="4" width="7.5546875" customWidth="1"/>
    <col min="5" max="6" width="9.44140625" style="19" customWidth="1"/>
    <col min="7" max="10" width="17.6640625" style="19" customWidth="1"/>
  </cols>
  <sheetData>
    <row r="1" spans="1:10" x14ac:dyDescent="0.3">
      <c r="E1"/>
      <c r="F1"/>
      <c r="G1"/>
      <c r="H1"/>
      <c r="I1"/>
      <c r="J1"/>
    </row>
    <row r="2" spans="1:10" s="1" customFormat="1" ht="18" x14ac:dyDescent="0.35">
      <c r="A2" s="20" t="s">
        <v>129</v>
      </c>
      <c r="B2" s="7"/>
    </row>
    <row r="3" spans="1:10" s="1" customFormat="1" ht="18.600000000000001" thickBot="1" x14ac:dyDescent="0.4">
      <c r="A3" s="20"/>
      <c r="B3" s="92" t="s">
        <v>151</v>
      </c>
    </row>
    <row r="4" spans="1:10" s="24" customFormat="1" ht="47.4" thickBot="1" x14ac:dyDescent="0.35">
      <c r="A4" s="22" t="s">
        <v>128</v>
      </c>
      <c r="B4" s="91" t="s">
        <v>59</v>
      </c>
      <c r="C4" s="22" t="s">
        <v>109</v>
      </c>
      <c r="D4" s="22" t="s">
        <v>107</v>
      </c>
      <c r="E4" s="22" t="s">
        <v>130</v>
      </c>
      <c r="F4" s="22" t="s">
        <v>140</v>
      </c>
      <c r="G4" s="22" t="s">
        <v>131</v>
      </c>
      <c r="H4" s="22" t="s">
        <v>132</v>
      </c>
      <c r="I4" s="23" t="s">
        <v>141</v>
      </c>
      <c r="J4" s="23" t="s">
        <v>138</v>
      </c>
    </row>
    <row r="5" spans="1:10" x14ac:dyDescent="0.3">
      <c r="A5" s="2">
        <v>1</v>
      </c>
      <c r="B5" s="12" t="s">
        <v>17</v>
      </c>
      <c r="C5" s="2" t="s">
        <v>110</v>
      </c>
      <c r="D5" s="2">
        <v>1</v>
      </c>
      <c r="E5" s="18" t="s">
        <v>139</v>
      </c>
      <c r="F5" s="18">
        <v>4</v>
      </c>
      <c r="G5" s="21">
        <f>VLOOKUP(Tabela136[[#This Row],[Objekt/Naziv]],'Spec. opreme po objektih'!$B$4:$M$35,12,FALSE)</f>
        <v>0</v>
      </c>
      <c r="H5" s="21">
        <f>Tabela136[[#This Row],[cena/em]]*Tabela136[[#This Row],[št. pregledo /leto]]</f>
        <v>0</v>
      </c>
      <c r="I5" s="21">
        <f>Tabela136[[#This Row],[Cena skupaj v EUR brez DDV / leto]]*4</f>
        <v>0</v>
      </c>
      <c r="J5" s="21">
        <f>Tabela136[[#This Row],[Cena v EUR brez DDV /4  leta]]*1.22</f>
        <v>0</v>
      </c>
    </row>
    <row r="6" spans="1:10" x14ac:dyDescent="0.3">
      <c r="A6" s="2">
        <v>2</v>
      </c>
      <c r="B6" s="17" t="s">
        <v>98</v>
      </c>
      <c r="C6" s="2" t="s">
        <v>111</v>
      </c>
      <c r="D6" s="2">
        <v>1</v>
      </c>
      <c r="E6" s="18" t="s">
        <v>139</v>
      </c>
      <c r="F6" s="18">
        <v>4</v>
      </c>
      <c r="G6" s="21">
        <f>VLOOKUP(Tabela136[[#This Row],[Objekt/Naziv]],'Spec. opreme po objektih'!$B$4:$M$35,12,FALSE)</f>
        <v>0</v>
      </c>
      <c r="H6" s="21">
        <f>Tabela136[[#This Row],[cena/em]]*Tabela136[[#This Row],[št. pregledo /leto]]</f>
        <v>0</v>
      </c>
      <c r="I6" s="21">
        <f>Tabela136[[#This Row],[Cena skupaj v EUR brez DDV / leto]]*4</f>
        <v>0</v>
      </c>
      <c r="J6" s="21">
        <f>Tabela136[[#This Row],[Cena v EUR brez DDV /4  leta]]*1.22</f>
        <v>0</v>
      </c>
    </row>
    <row r="7" spans="1:10" x14ac:dyDescent="0.3">
      <c r="A7" s="2">
        <v>3</v>
      </c>
      <c r="B7" s="17" t="s">
        <v>95</v>
      </c>
      <c r="C7" s="2" t="s">
        <v>111</v>
      </c>
      <c r="D7" s="2">
        <v>1</v>
      </c>
      <c r="E7" s="18" t="s">
        <v>139</v>
      </c>
      <c r="F7" s="18">
        <v>4</v>
      </c>
      <c r="G7" s="21">
        <f>VLOOKUP(Tabela136[[#This Row],[Objekt/Naziv]],'Spec. opreme po objektih'!$B$4:$M$35,12,FALSE)</f>
        <v>0</v>
      </c>
      <c r="H7" s="21">
        <f>Tabela136[[#This Row],[cena/em]]*Tabela136[[#This Row],[št. pregledo /leto]]</f>
        <v>0</v>
      </c>
      <c r="I7" s="21">
        <f>Tabela136[[#This Row],[Cena skupaj v EUR brez DDV / leto]]*4</f>
        <v>0</v>
      </c>
      <c r="J7" s="21">
        <f>Tabela136[[#This Row],[Cena v EUR brez DDV /4  leta]]*1.22</f>
        <v>0</v>
      </c>
    </row>
    <row r="8" spans="1:10" x14ac:dyDescent="0.3">
      <c r="A8" s="88">
        <v>4</v>
      </c>
      <c r="B8" s="13" t="s">
        <v>136</v>
      </c>
      <c r="C8" s="25" t="s">
        <v>122</v>
      </c>
      <c r="D8" s="25">
        <v>1</v>
      </c>
      <c r="E8" s="18" t="s">
        <v>139</v>
      </c>
      <c r="F8" s="18">
        <v>4</v>
      </c>
      <c r="G8" s="21">
        <f>VLOOKUP(Tabela136[[#This Row],[Objekt/Naziv]],'Spec. opreme po objektih'!$B$6:$M$35,12,FALSE)</f>
        <v>0</v>
      </c>
      <c r="H8" s="21">
        <f>Tabela136[[#This Row],[cena/em]]*Tabela136[[#This Row],[št. pregledo /leto]]</f>
        <v>0</v>
      </c>
      <c r="I8" s="21">
        <f>Tabela136[[#This Row],[Cena skupaj v EUR brez DDV / leto]]*4</f>
        <v>0</v>
      </c>
      <c r="J8" s="21">
        <f>Tabela136[[#This Row],[Cena v EUR brez DDV /4  leta]]*1.22</f>
        <v>0</v>
      </c>
    </row>
    <row r="9" spans="1:10" x14ac:dyDescent="0.3">
      <c r="A9" s="31"/>
      <c r="B9" s="40"/>
      <c r="C9" s="31"/>
      <c r="D9" s="31"/>
      <c r="E9" s="34"/>
      <c r="F9" s="35" t="s">
        <v>152</v>
      </c>
      <c r="G9" s="35"/>
      <c r="H9" s="36">
        <f>SUBTOTAL(109,H5:H8)</f>
        <v>0</v>
      </c>
      <c r="I9" s="36">
        <f>SUBTOTAL(109,I5:I8)</f>
        <v>0</v>
      </c>
      <c r="J9" s="65">
        <f>SUM(J5:J8)</f>
        <v>0</v>
      </c>
    </row>
    <row r="10" spans="1:10" ht="10.5" customHeight="1" x14ac:dyDescent="0.3"/>
  </sheetData>
  <sheetProtection algorithmName="SHA-512" hashValue="4rH8EEKj73d46uzZgAUS6cGNx8kFrncHN7sEMOTiLJVTNeF6b+0sEkgO6P7KdxnbZaiQDE5MPVv5f+HoMGsBGw==" saltValue="mRK83kLCObM67Ufs8RYMaQ==" spinCount="100000" sheet="1" objects="1" scenarios="1"/>
  <pageMargins left="0" right="0" top="0" bottom="0" header="0" footer="0"/>
  <pageSetup paperSize="8" scale="51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2:J21"/>
  <sheetViews>
    <sheetView zoomScaleNormal="100" workbookViewId="0">
      <pane ySplit="4" topLeftCell="A5" activePane="bottomLeft" state="frozen"/>
      <selection activeCell="E4" sqref="E4"/>
      <selection pane="bottomLeft" activeCell="C9" sqref="C9"/>
    </sheetView>
  </sheetViews>
  <sheetFormatPr defaultRowHeight="14.4" x14ac:dyDescent="0.3"/>
  <cols>
    <col min="1" max="1" width="5.88671875" customWidth="1"/>
    <col min="2" max="2" width="40.109375" style="5" customWidth="1"/>
    <col min="3" max="3" width="39.5546875" customWidth="1"/>
    <col min="4" max="4" width="7.5546875" customWidth="1"/>
    <col min="5" max="6" width="9.44140625" customWidth="1"/>
    <col min="7" max="10" width="17.6640625" customWidth="1"/>
  </cols>
  <sheetData>
    <row r="2" spans="1:10" s="1" customFormat="1" ht="18" x14ac:dyDescent="0.35">
      <c r="A2" s="20" t="s">
        <v>133</v>
      </c>
      <c r="B2" s="7"/>
    </row>
    <row r="3" spans="1:10" s="1" customFormat="1" ht="18.600000000000001" thickBot="1" x14ac:dyDescent="0.4">
      <c r="A3" s="20"/>
      <c r="B3" s="92" t="s">
        <v>151</v>
      </c>
    </row>
    <row r="4" spans="1:10" s="7" customFormat="1" ht="47.4" thickBot="1" x14ac:dyDescent="0.35">
      <c r="A4" s="22" t="s">
        <v>128</v>
      </c>
      <c r="B4" s="91" t="s">
        <v>59</v>
      </c>
      <c r="C4" s="22" t="s">
        <v>109</v>
      </c>
      <c r="D4" s="22" t="s">
        <v>107</v>
      </c>
      <c r="E4" s="22" t="s">
        <v>130</v>
      </c>
      <c r="F4" s="22" t="s">
        <v>140</v>
      </c>
      <c r="G4" s="22" t="s">
        <v>131</v>
      </c>
      <c r="H4" s="22" t="s">
        <v>132</v>
      </c>
      <c r="I4" s="23" t="s">
        <v>141</v>
      </c>
      <c r="J4" s="23" t="s">
        <v>138</v>
      </c>
    </row>
    <row r="5" spans="1:10" s="19" customFormat="1" x14ac:dyDescent="0.3">
      <c r="A5" s="25">
        <v>1</v>
      </c>
      <c r="B5" s="17" t="s">
        <v>102</v>
      </c>
      <c r="C5" s="25" t="s">
        <v>115</v>
      </c>
      <c r="D5" s="25">
        <v>2</v>
      </c>
      <c r="E5" s="18" t="s">
        <v>139</v>
      </c>
      <c r="F5" s="18">
        <v>4</v>
      </c>
      <c r="G5" s="21">
        <f>VLOOKUP(Tabela137[[#This Row],[Objekt/Naziv]],'Spec. opreme po objektih'!$B$6:$M$35,12,FALSE)</f>
        <v>0</v>
      </c>
      <c r="H5" s="21">
        <f>Tabela137[[#This Row],[cena/em]]*Tabela137[[#This Row],[št. pregledo /leto]]</f>
        <v>0</v>
      </c>
      <c r="I5" s="21">
        <f>Tabela137[[#This Row],[Cena skupaj v EUR brez DDV / leto]]*4</f>
        <v>0</v>
      </c>
      <c r="J5" s="21">
        <f>Tabela137[[#This Row],[Cena v EUR brez DDV /4  leta]]*1.22</f>
        <v>0</v>
      </c>
    </row>
    <row r="6" spans="1:10" s="19" customFormat="1" x14ac:dyDescent="0.3">
      <c r="A6" s="25">
        <v>2</v>
      </c>
      <c r="B6" s="17" t="s">
        <v>19</v>
      </c>
      <c r="C6" s="25" t="s">
        <v>112</v>
      </c>
      <c r="D6" s="25">
        <v>2</v>
      </c>
      <c r="E6" s="18" t="s">
        <v>139</v>
      </c>
      <c r="F6" s="18">
        <v>4</v>
      </c>
      <c r="G6" s="21">
        <f>VLOOKUP(Tabela137[[#This Row],[Objekt/Naziv]],'Spec. opreme po objektih'!$B$6:$M$35,12,FALSE)</f>
        <v>0</v>
      </c>
      <c r="H6" s="21">
        <f>Tabela137[[#This Row],[cena/em]]*Tabela137[[#This Row],[št. pregledo /leto]]</f>
        <v>0</v>
      </c>
      <c r="I6" s="21">
        <f>Tabela137[[#This Row],[Cena skupaj v EUR brez DDV / leto]]*4</f>
        <v>0</v>
      </c>
      <c r="J6" s="21">
        <f>Tabela137[[#This Row],[Cena v EUR brez DDV /4  leta]]*1.22</f>
        <v>0</v>
      </c>
    </row>
    <row r="7" spans="1:10" s="19" customFormat="1" x14ac:dyDescent="0.3">
      <c r="A7" s="25">
        <v>3</v>
      </c>
      <c r="B7" s="17" t="s">
        <v>25</v>
      </c>
      <c r="C7" s="25" t="s">
        <v>114</v>
      </c>
      <c r="D7" s="25">
        <v>2</v>
      </c>
      <c r="E7" s="18" t="s">
        <v>139</v>
      </c>
      <c r="F7" s="18">
        <v>4</v>
      </c>
      <c r="G7" s="21">
        <f>VLOOKUP(Tabela137[[#This Row],[Objekt/Naziv]],'Spec. opreme po objektih'!$B$6:$M$35,12,FALSE)</f>
        <v>0</v>
      </c>
      <c r="H7" s="21">
        <f>Tabela137[[#This Row],[cena/em]]*Tabela137[[#This Row],[št. pregledo /leto]]</f>
        <v>0</v>
      </c>
      <c r="I7" s="21">
        <f>Tabela137[[#This Row],[Cena skupaj v EUR brez DDV / leto]]*4</f>
        <v>0</v>
      </c>
      <c r="J7" s="21">
        <f>Tabela137[[#This Row],[Cena v EUR brez DDV /4  leta]]*1.22</f>
        <v>0</v>
      </c>
    </row>
    <row r="8" spans="1:10" s="19" customFormat="1" x14ac:dyDescent="0.3">
      <c r="A8" s="25">
        <v>4</v>
      </c>
      <c r="B8" s="26" t="s">
        <v>29</v>
      </c>
      <c r="C8" s="25" t="s">
        <v>118</v>
      </c>
      <c r="D8" s="25">
        <v>2</v>
      </c>
      <c r="E8" s="18" t="s">
        <v>139</v>
      </c>
      <c r="F8" s="18">
        <v>4</v>
      </c>
      <c r="G8" s="21">
        <f>VLOOKUP(Tabela137[[#This Row],[Objekt/Naziv]],'Spec. opreme po objektih'!$B$6:$M$35,12,FALSE)</f>
        <v>0</v>
      </c>
      <c r="H8" s="21">
        <f>Tabela137[[#This Row],[cena/em]]*Tabela137[[#This Row],[št. pregledo /leto]]</f>
        <v>0</v>
      </c>
      <c r="I8" s="21">
        <f>Tabela137[[#This Row],[Cena skupaj v EUR brez DDV / leto]]*4</f>
        <v>0</v>
      </c>
      <c r="J8" s="21">
        <f>Tabela137[[#This Row],[Cena v EUR brez DDV /4  leta]]*1.22</f>
        <v>0</v>
      </c>
    </row>
    <row r="9" spans="1:10" s="19" customFormat="1" x14ac:dyDescent="0.3">
      <c r="A9" s="25">
        <v>5</v>
      </c>
      <c r="B9" s="26" t="s">
        <v>31</v>
      </c>
      <c r="C9" s="25" t="s">
        <v>119</v>
      </c>
      <c r="D9" s="25">
        <v>2</v>
      </c>
      <c r="E9" s="18" t="s">
        <v>139</v>
      </c>
      <c r="F9" s="18">
        <v>4</v>
      </c>
      <c r="G9" s="21">
        <f>VLOOKUP(Tabela137[[#This Row],[Objekt/Naziv]],'Spec. opreme po objektih'!$B$6:$M$35,12,FALSE)</f>
        <v>0</v>
      </c>
      <c r="H9" s="21">
        <f>Tabela137[[#This Row],[cena/em]]*Tabela137[[#This Row],[št. pregledo /leto]]</f>
        <v>0</v>
      </c>
      <c r="I9" s="21">
        <f>Tabela137[[#This Row],[Cena skupaj v EUR brez DDV / leto]]*4</f>
        <v>0</v>
      </c>
      <c r="J9" s="21">
        <f>Tabela137[[#This Row],[Cena v EUR brez DDV /4  leta]]*1.22</f>
        <v>0</v>
      </c>
    </row>
    <row r="10" spans="1:10" s="19" customFormat="1" x14ac:dyDescent="0.3">
      <c r="A10" s="25">
        <v>6</v>
      </c>
      <c r="B10" s="17" t="s">
        <v>32</v>
      </c>
      <c r="C10" s="25" t="s">
        <v>125</v>
      </c>
      <c r="D10" s="25">
        <v>2</v>
      </c>
      <c r="E10" s="18" t="s">
        <v>139</v>
      </c>
      <c r="F10" s="18">
        <v>4</v>
      </c>
      <c r="G10" s="21">
        <f>VLOOKUP(Tabela137[[#This Row],[Objekt/Naziv]],'Spec. opreme po objektih'!$B$6:$M$35,12,FALSE)</f>
        <v>0</v>
      </c>
      <c r="H10" s="21">
        <f>Tabela137[[#This Row],[cena/em]]*Tabela137[[#This Row],[št. pregledo /leto]]</f>
        <v>0</v>
      </c>
      <c r="I10" s="21">
        <f>Tabela137[[#This Row],[Cena skupaj v EUR brez DDV / leto]]*4</f>
        <v>0</v>
      </c>
      <c r="J10" s="21">
        <f>Tabela137[[#This Row],[Cena v EUR brez DDV /4  leta]]*1.22</f>
        <v>0</v>
      </c>
    </row>
    <row r="11" spans="1:10" s="19" customFormat="1" x14ac:dyDescent="0.3">
      <c r="A11" s="25">
        <v>7</v>
      </c>
      <c r="B11" s="17" t="s">
        <v>36</v>
      </c>
      <c r="C11" s="25" t="s">
        <v>126</v>
      </c>
      <c r="D11" s="25">
        <v>2</v>
      </c>
      <c r="E11" s="18" t="s">
        <v>139</v>
      </c>
      <c r="F11" s="18">
        <v>4</v>
      </c>
      <c r="G11" s="21">
        <f>VLOOKUP(Tabela137[[#This Row],[Objekt/Naziv]],'Spec. opreme po objektih'!$B$6:$M$35,12,FALSE)</f>
        <v>0</v>
      </c>
      <c r="H11" s="21">
        <f>Tabela137[[#This Row],[cena/em]]*Tabela137[[#This Row],[št. pregledo /leto]]</f>
        <v>0</v>
      </c>
      <c r="I11" s="21">
        <f>Tabela137[[#This Row],[Cena skupaj v EUR brez DDV / leto]]*4</f>
        <v>0</v>
      </c>
      <c r="J11" s="21">
        <f>Tabela137[[#This Row],[Cena v EUR brez DDV /4  leta]]*1.22</f>
        <v>0</v>
      </c>
    </row>
    <row r="12" spans="1:10" s="19" customFormat="1" x14ac:dyDescent="0.3">
      <c r="B12" s="27"/>
      <c r="C12" s="37"/>
      <c r="D12" s="38"/>
      <c r="E12" s="34"/>
      <c r="F12" s="35" t="s">
        <v>153</v>
      </c>
      <c r="G12" s="35"/>
      <c r="H12" s="36">
        <f>SUBTOTAL(109,H5:H11)</f>
        <v>0</v>
      </c>
      <c r="I12" s="65">
        <f>Tabela137[[#This Row],[Cena skupaj v EUR brez DDV / leto]]*4</f>
        <v>0</v>
      </c>
      <c r="J12" s="65">
        <f>Tabela137[[#This Row],[Cena v EUR brez DDV /4  leta]]*1.22</f>
        <v>0</v>
      </c>
    </row>
    <row r="13" spans="1:10" s="19" customFormat="1" x14ac:dyDescent="0.3"/>
    <row r="14" spans="1:10" s="19" customFormat="1" x14ac:dyDescent="0.3"/>
    <row r="15" spans="1:10" s="19" customFormat="1" x14ac:dyDescent="0.3"/>
    <row r="16" spans="1:10" s="19" customFormat="1" x14ac:dyDescent="0.3"/>
    <row r="17" spans="1:10" s="19" customFormat="1" x14ac:dyDescent="0.3"/>
    <row r="18" spans="1:10" s="19" customFormat="1" x14ac:dyDescent="0.3"/>
    <row r="19" spans="1:10" s="19" customFormat="1" x14ac:dyDescent="0.3"/>
    <row r="20" spans="1:10" s="19" customFormat="1" x14ac:dyDescent="0.3"/>
    <row r="21" spans="1:10" s="19" customFormat="1" x14ac:dyDescent="0.3">
      <c r="A21"/>
      <c r="B21"/>
      <c r="C21"/>
      <c r="D21"/>
      <c r="E21"/>
      <c r="F21"/>
      <c r="G21"/>
      <c r="H21"/>
      <c r="I21"/>
      <c r="J21"/>
    </row>
  </sheetData>
  <sheetProtection algorithmName="SHA-512" hashValue="uWeUYl9GAA3AfbfNE5Q4l8cvTy8XPNduDxGNOxAFJduptCk+rYkMJhabXkv66DskhT5OZqKkNUPFKQpF5a+wEg==" saltValue="slr4tAsR07znDgb6xw469Q==" spinCount="100000" sheet="1" objects="1" scenarios="1"/>
  <pageMargins left="0" right="0" top="0" bottom="0" header="0" footer="0"/>
  <pageSetup paperSize="8" scale="51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2:J7"/>
  <sheetViews>
    <sheetView topLeftCell="B1" zoomScale="115" zoomScaleNormal="115" workbookViewId="0">
      <pane ySplit="4" topLeftCell="A5" activePane="bottomLeft" state="frozen"/>
      <selection activeCell="F1" sqref="F1:F1048576"/>
      <selection pane="bottomLeft" activeCell="C20" sqref="C20"/>
    </sheetView>
  </sheetViews>
  <sheetFormatPr defaultRowHeight="14.4" x14ac:dyDescent="0.3"/>
  <cols>
    <col min="1" max="1" width="6" customWidth="1"/>
    <col min="2" max="2" width="40.109375" style="5" customWidth="1"/>
    <col min="3" max="3" width="39.5546875" customWidth="1"/>
    <col min="4" max="4" width="7.5546875" customWidth="1"/>
    <col min="5" max="6" width="9.44140625" customWidth="1"/>
    <col min="7" max="10" width="17.6640625" customWidth="1"/>
  </cols>
  <sheetData>
    <row r="2" spans="1:10" s="1" customFormat="1" ht="18" x14ac:dyDescent="0.35">
      <c r="A2" s="20" t="s">
        <v>150</v>
      </c>
      <c r="B2" s="7"/>
    </row>
    <row r="3" spans="1:10" s="1" customFormat="1" ht="18.600000000000001" thickBot="1" x14ac:dyDescent="0.4">
      <c r="A3" s="20"/>
      <c r="B3" s="92" t="s">
        <v>151</v>
      </c>
    </row>
    <row r="4" spans="1:10" s="7" customFormat="1" ht="47.4" thickBot="1" x14ac:dyDescent="0.35">
      <c r="A4" s="22" t="s">
        <v>128</v>
      </c>
      <c r="B4" s="91" t="s">
        <v>59</v>
      </c>
      <c r="C4" s="22" t="s">
        <v>109</v>
      </c>
      <c r="D4" s="22" t="s">
        <v>107</v>
      </c>
      <c r="E4" s="22" t="s">
        <v>130</v>
      </c>
      <c r="F4" s="22" t="s">
        <v>140</v>
      </c>
      <c r="G4" s="22" t="s">
        <v>131</v>
      </c>
      <c r="H4" s="22" t="s">
        <v>132</v>
      </c>
      <c r="I4" s="23" t="s">
        <v>141</v>
      </c>
      <c r="J4" s="23" t="s">
        <v>138</v>
      </c>
    </row>
    <row r="5" spans="1:10" x14ac:dyDescent="0.3">
      <c r="A5" s="2">
        <v>1</v>
      </c>
      <c r="B5" s="26" t="s">
        <v>98</v>
      </c>
      <c r="C5" s="29" t="s">
        <v>111</v>
      </c>
      <c r="D5" s="2">
        <v>3</v>
      </c>
      <c r="E5" s="18" t="s">
        <v>139</v>
      </c>
      <c r="F5" s="18">
        <v>1</v>
      </c>
      <c r="G5" s="21">
        <f>VLOOKUP(Tabela1378[[#This Row],[Objekt/Naziv]],Tabela13[[Objekt/Naziv]:[vlom video skupaj]],27,FALSE)</f>
        <v>0</v>
      </c>
      <c r="H5" s="21">
        <f>Tabela1378[[#This Row],[cena/em]]*Tabela1378[[#This Row],[št. pregledo /leto]]</f>
        <v>0</v>
      </c>
      <c r="I5" s="21">
        <f>Tabela1378[[#This Row],[Cena skupaj v EUR brez DDV / leto]]*4</f>
        <v>0</v>
      </c>
      <c r="J5" s="21">
        <f>Tabela1378[[#This Row],[Cena v EUR brez DDV /4  leta]]*1.22</f>
        <v>0</v>
      </c>
    </row>
    <row r="6" spans="1:10" x14ac:dyDescent="0.3">
      <c r="A6" s="2">
        <v>2</v>
      </c>
      <c r="B6" s="13" t="s">
        <v>136</v>
      </c>
      <c r="C6" s="29" t="s">
        <v>122</v>
      </c>
      <c r="D6" s="2">
        <v>3</v>
      </c>
      <c r="E6" s="18" t="s">
        <v>139</v>
      </c>
      <c r="F6" s="18">
        <v>1</v>
      </c>
      <c r="G6" s="21">
        <f>VLOOKUP(Tabela1378[[#This Row],[Objekt/Naziv]],Tabela13[[Objekt/Naziv]:[vlom video skupaj]],27,FALSE)</f>
        <v>0</v>
      </c>
      <c r="H6" s="21">
        <f>Tabela1378[[#This Row],[cena/em]]*Tabela1378[[#This Row],[št. pregledo /leto]]</f>
        <v>0</v>
      </c>
      <c r="I6" s="21">
        <f>Tabela1378[[#This Row],[Cena skupaj v EUR brez DDV / leto]]*4</f>
        <v>0</v>
      </c>
      <c r="J6" s="21">
        <f>Tabela1378[[#This Row],[Cena v EUR brez DDV /4  leta]]*1.22</f>
        <v>0</v>
      </c>
    </row>
    <row r="7" spans="1:10" x14ac:dyDescent="0.3">
      <c r="A7" s="31"/>
      <c r="B7" s="39"/>
      <c r="C7" s="31"/>
      <c r="D7" s="38"/>
      <c r="E7" s="34"/>
      <c r="F7" s="93" t="s">
        <v>154</v>
      </c>
      <c r="G7" s="35"/>
      <c r="H7" s="65">
        <f>SUBTOTAL(109,H5:H6)</f>
        <v>0</v>
      </c>
      <c r="I7" s="65">
        <f>SUBTOTAL(109,I5:I6)</f>
        <v>0</v>
      </c>
      <c r="J7" s="65">
        <f>SUBTOTAL(109,J5:J6)</f>
        <v>0</v>
      </c>
    </row>
  </sheetData>
  <sheetProtection algorithmName="SHA-512" hashValue="sOtf4NVUvAYtBW3S6iYl1QDqQyki1Jw5PJrAwBtR1tYIAtpGt/Tmpa1JEW9BdQdzhTntU0nCSNI1X063D22q4A==" saltValue="15mvBcvdgVbfmYLvXbBQmA==" spinCount="100000" sheet="1" objects="1" scenarios="1"/>
  <pageMargins left="0" right="0" top="0" bottom="0" header="0" footer="0"/>
  <pageSetup paperSize="8" scale="51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2:J34"/>
  <sheetViews>
    <sheetView zoomScaleNormal="100" workbookViewId="0">
      <pane ySplit="4" topLeftCell="A5" activePane="bottomLeft" state="frozen"/>
      <selection activeCell="F1" sqref="F1:F1048576"/>
      <selection pane="bottomLeft" activeCell="G12" sqref="G12"/>
    </sheetView>
  </sheetViews>
  <sheetFormatPr defaultRowHeight="14.4" x14ac:dyDescent="0.3"/>
  <cols>
    <col min="1" max="1" width="6" customWidth="1"/>
    <col min="2" max="2" width="40.109375" style="5" customWidth="1"/>
    <col min="3" max="3" width="39.5546875" customWidth="1"/>
    <col min="4" max="4" width="7.5546875" customWidth="1"/>
    <col min="5" max="6" width="9.44140625" customWidth="1"/>
    <col min="7" max="10" width="17.6640625" customWidth="1"/>
  </cols>
  <sheetData>
    <row r="2" spans="1:10" s="1" customFormat="1" ht="18" x14ac:dyDescent="0.35">
      <c r="A2" s="20" t="s">
        <v>134</v>
      </c>
      <c r="B2" s="7"/>
    </row>
    <row r="3" spans="1:10" s="1" customFormat="1" ht="18.600000000000001" thickBot="1" x14ac:dyDescent="0.4">
      <c r="A3" s="20"/>
      <c r="B3" s="92" t="s">
        <v>151</v>
      </c>
    </row>
    <row r="4" spans="1:10" s="7" customFormat="1" ht="47.4" thickBot="1" x14ac:dyDescent="0.35">
      <c r="A4" s="22" t="s">
        <v>128</v>
      </c>
      <c r="B4" s="91" t="s">
        <v>59</v>
      </c>
      <c r="C4" s="22" t="s">
        <v>109</v>
      </c>
      <c r="D4" s="22" t="s">
        <v>107</v>
      </c>
      <c r="E4" s="22" t="s">
        <v>130</v>
      </c>
      <c r="F4" s="22" t="s">
        <v>140</v>
      </c>
      <c r="G4" s="22" t="s">
        <v>131</v>
      </c>
      <c r="H4" s="22" t="s">
        <v>132</v>
      </c>
      <c r="I4" s="23" t="s">
        <v>141</v>
      </c>
      <c r="J4" s="23" t="s">
        <v>138</v>
      </c>
    </row>
    <row r="5" spans="1:10" x14ac:dyDescent="0.3">
      <c r="A5" s="2">
        <v>1</v>
      </c>
      <c r="B5" s="26" t="s">
        <v>41</v>
      </c>
      <c r="C5" s="28" t="s">
        <v>127</v>
      </c>
      <c r="D5" s="28">
        <v>4</v>
      </c>
      <c r="E5" s="18" t="s">
        <v>139</v>
      </c>
      <c r="F5" s="18">
        <v>1</v>
      </c>
      <c r="G5" s="21">
        <f>VLOOKUP(Tabela13789[[#This Row],[Objekt/Naziv]],Tabela13[[Objekt/Naziv]:[vlom video skupaj]],27,FALSE)</f>
        <v>0</v>
      </c>
      <c r="H5" s="21">
        <f>Tabela13789[[#This Row],[cena/em]]*Tabela13789[[#This Row],[št. pregledo /leto]]</f>
        <v>0</v>
      </c>
      <c r="I5" s="21">
        <f>Tabela13789[[#This Row],[Cena skupaj v EUR brez DDV / leto]]*4</f>
        <v>0</v>
      </c>
      <c r="J5" s="21">
        <f>Tabela13789[[#This Row],[Cena v EUR brez DDV /4  leta]]*1.22</f>
        <v>0</v>
      </c>
    </row>
    <row r="6" spans="1:10" x14ac:dyDescent="0.3">
      <c r="A6" s="2">
        <v>2</v>
      </c>
      <c r="B6" s="26" t="s">
        <v>17</v>
      </c>
      <c r="C6" s="28" t="s">
        <v>110</v>
      </c>
      <c r="D6" s="28">
        <v>4</v>
      </c>
      <c r="E6" s="18" t="s">
        <v>139</v>
      </c>
      <c r="F6" s="18">
        <v>1</v>
      </c>
      <c r="G6" s="21">
        <f>VLOOKUP(Tabela13789[[#This Row],[Objekt/Naziv]],Tabela13[[Objekt/Naziv]:[vlom video skupaj]],27,FALSE)</f>
        <v>0</v>
      </c>
      <c r="H6" s="21">
        <f>Tabela13789[[#This Row],[cena/em]]*Tabela13789[[#This Row],[št. pregledo /leto]]</f>
        <v>0</v>
      </c>
      <c r="I6" s="21">
        <f>Tabela13789[[#This Row],[Cena skupaj v EUR brez DDV / leto]]*4</f>
        <v>0</v>
      </c>
      <c r="J6" s="21">
        <f>Tabela13789[[#This Row],[Cena v EUR brez DDV /4  leta]]*1.22</f>
        <v>0</v>
      </c>
    </row>
    <row r="7" spans="1:10" x14ac:dyDescent="0.3">
      <c r="A7" s="2">
        <v>3</v>
      </c>
      <c r="B7" s="26" t="s">
        <v>102</v>
      </c>
      <c r="C7" s="28" t="s">
        <v>115</v>
      </c>
      <c r="D7" s="28">
        <v>4</v>
      </c>
      <c r="E7" s="18" t="s">
        <v>139</v>
      </c>
      <c r="F7" s="18">
        <v>1</v>
      </c>
      <c r="G7" s="21">
        <f>VLOOKUP(Tabela13789[[#This Row],[Objekt/Naziv]],Tabela13[[Objekt/Naziv]:[vlom video skupaj]],27,FALSE)</f>
        <v>0</v>
      </c>
      <c r="H7" s="21">
        <f>Tabela13789[[#This Row],[cena/em]]*Tabela13789[[#This Row],[št. pregledo /leto]]</f>
        <v>0</v>
      </c>
      <c r="I7" s="21">
        <f>Tabela13789[[#This Row],[Cena skupaj v EUR brez DDV / leto]]*4</f>
        <v>0</v>
      </c>
      <c r="J7" s="21">
        <f>Tabela13789[[#This Row],[Cena v EUR brez DDV /4  leta]]*1.22</f>
        <v>0</v>
      </c>
    </row>
    <row r="8" spans="1:10" x14ac:dyDescent="0.3">
      <c r="A8" s="2">
        <v>4</v>
      </c>
      <c r="B8" s="26" t="s">
        <v>20</v>
      </c>
      <c r="C8" s="28" t="s">
        <v>112</v>
      </c>
      <c r="D8" s="28">
        <v>4</v>
      </c>
      <c r="E8" s="18" t="s">
        <v>139</v>
      </c>
      <c r="F8" s="18">
        <v>1</v>
      </c>
      <c r="G8" s="21">
        <f>VLOOKUP(Tabela13789[[#This Row],[Objekt/Naziv]],Tabela13[[Objekt/Naziv]:[vlom video skupaj]],27,FALSE)</f>
        <v>0</v>
      </c>
      <c r="H8" s="21">
        <f>Tabela13789[[#This Row],[cena/em]]*Tabela13789[[#This Row],[št. pregledo /leto]]</f>
        <v>0</v>
      </c>
      <c r="I8" s="21">
        <f>Tabela13789[[#This Row],[Cena skupaj v EUR brez DDV / leto]]*4</f>
        <v>0</v>
      </c>
      <c r="J8" s="21">
        <f>Tabela13789[[#This Row],[Cena v EUR brez DDV /4  leta]]*1.22</f>
        <v>0</v>
      </c>
    </row>
    <row r="9" spans="1:10" x14ac:dyDescent="0.3">
      <c r="A9" s="2">
        <v>5</v>
      </c>
      <c r="B9" s="26" t="s">
        <v>19</v>
      </c>
      <c r="C9" s="28" t="s">
        <v>112</v>
      </c>
      <c r="D9" s="28">
        <v>4</v>
      </c>
      <c r="E9" s="18" t="s">
        <v>139</v>
      </c>
      <c r="F9" s="18">
        <v>1</v>
      </c>
      <c r="G9" s="21">
        <f>VLOOKUP(Tabela13789[[#This Row],[Objekt/Naziv]],Tabela13[[Objekt/Naziv]:[vlom video skupaj]],27,FALSE)</f>
        <v>0</v>
      </c>
      <c r="H9" s="21">
        <f>Tabela13789[[#This Row],[cena/em]]*Tabela13789[[#This Row],[št. pregledo /leto]]</f>
        <v>0</v>
      </c>
      <c r="I9" s="21">
        <f>Tabela13789[[#This Row],[Cena skupaj v EUR brez DDV / leto]]*4</f>
        <v>0</v>
      </c>
      <c r="J9" s="21">
        <f>Tabela13789[[#This Row],[Cena v EUR brez DDV /4  leta]]*1.22</f>
        <v>0</v>
      </c>
    </row>
    <row r="10" spans="1:10" x14ac:dyDescent="0.3">
      <c r="A10" s="2">
        <v>6</v>
      </c>
      <c r="B10" s="26" t="s">
        <v>21</v>
      </c>
      <c r="C10" s="28" t="s">
        <v>113</v>
      </c>
      <c r="D10" s="28">
        <v>4</v>
      </c>
      <c r="E10" s="18" t="s">
        <v>139</v>
      </c>
      <c r="F10" s="18">
        <v>1</v>
      </c>
      <c r="G10" s="21">
        <f>VLOOKUP(Tabela13789[[#This Row],[Objekt/Naziv]],Tabela13[[Objekt/Naziv]:[vlom video skupaj]],27,FALSE)</f>
        <v>0</v>
      </c>
      <c r="H10" s="21">
        <f>Tabela13789[[#This Row],[cena/em]]*Tabela13789[[#This Row],[št. pregledo /leto]]</f>
        <v>0</v>
      </c>
      <c r="I10" s="21">
        <f>Tabela13789[[#This Row],[Cena skupaj v EUR brez DDV / leto]]*4</f>
        <v>0</v>
      </c>
      <c r="J10" s="21">
        <f>Tabela13789[[#This Row],[Cena v EUR brez DDV /4  leta]]*1.22</f>
        <v>0</v>
      </c>
    </row>
    <row r="11" spans="1:10" x14ac:dyDescent="0.3">
      <c r="A11" s="2">
        <v>7</v>
      </c>
      <c r="B11" s="26" t="s">
        <v>22</v>
      </c>
      <c r="C11" s="28" t="s">
        <v>114</v>
      </c>
      <c r="D11" s="28">
        <v>4</v>
      </c>
      <c r="E11" s="18" t="s">
        <v>139</v>
      </c>
      <c r="F11" s="18">
        <v>1</v>
      </c>
      <c r="G11" s="21">
        <f>VLOOKUP(Tabela13789[[#This Row],[Objekt/Naziv]],Tabela13[[Objekt/Naziv]:[vlom video skupaj]],27,FALSE)</f>
        <v>0</v>
      </c>
      <c r="H11" s="21">
        <f>Tabela13789[[#This Row],[cena/em]]*Tabela13789[[#This Row],[št. pregledo /leto]]</f>
        <v>0</v>
      </c>
      <c r="I11" s="21">
        <f>Tabela13789[[#This Row],[Cena skupaj v EUR brez DDV / leto]]*4</f>
        <v>0</v>
      </c>
      <c r="J11" s="21">
        <f>Tabela13789[[#This Row],[Cena v EUR brez DDV /4  leta]]*1.22</f>
        <v>0</v>
      </c>
    </row>
    <row r="12" spans="1:10" x14ac:dyDescent="0.3">
      <c r="A12" s="2">
        <v>8</v>
      </c>
      <c r="B12" s="26" t="s">
        <v>23</v>
      </c>
      <c r="C12" s="28" t="s">
        <v>114</v>
      </c>
      <c r="D12" s="28">
        <v>4</v>
      </c>
      <c r="E12" s="18" t="s">
        <v>139</v>
      </c>
      <c r="F12" s="18">
        <v>1</v>
      </c>
      <c r="G12" s="21">
        <f>VLOOKUP(Tabela13789[[#This Row],[Objekt/Naziv]],Tabela13[[Objekt/Naziv]:[vlom video skupaj]],27,FALSE)</f>
        <v>0</v>
      </c>
      <c r="H12" s="21">
        <f>Tabela13789[[#This Row],[cena/em]]*Tabela13789[[#This Row],[št. pregledo /leto]]</f>
        <v>0</v>
      </c>
      <c r="I12" s="21">
        <f>Tabela13789[[#This Row],[Cena skupaj v EUR brez DDV / leto]]*4</f>
        <v>0</v>
      </c>
      <c r="J12" s="21">
        <f>Tabela13789[[#This Row],[Cena v EUR brez DDV /4  leta]]*1.22</f>
        <v>0</v>
      </c>
    </row>
    <row r="13" spans="1:10" x14ac:dyDescent="0.3">
      <c r="A13" s="2">
        <v>9</v>
      </c>
      <c r="B13" s="26" t="s">
        <v>24</v>
      </c>
      <c r="C13" s="28" t="s">
        <v>114</v>
      </c>
      <c r="D13" s="28">
        <v>4</v>
      </c>
      <c r="E13" s="18" t="s">
        <v>139</v>
      </c>
      <c r="F13" s="18">
        <v>1</v>
      </c>
      <c r="G13" s="21">
        <f>VLOOKUP(Tabela13789[[#This Row],[Objekt/Naziv]],Tabela13[[Objekt/Naziv]:[vlom video skupaj]],27,FALSE)</f>
        <v>0</v>
      </c>
      <c r="H13" s="21">
        <f>Tabela13789[[#This Row],[cena/em]]*Tabela13789[[#This Row],[št. pregledo /leto]]</f>
        <v>0</v>
      </c>
      <c r="I13" s="21">
        <f>Tabela13789[[#This Row],[Cena skupaj v EUR brez DDV / leto]]*4</f>
        <v>0</v>
      </c>
      <c r="J13" s="21">
        <f>Tabela13789[[#This Row],[Cena v EUR brez DDV /4  leta]]*1.22</f>
        <v>0</v>
      </c>
    </row>
    <row r="14" spans="1:10" x14ac:dyDescent="0.3">
      <c r="A14" s="2">
        <v>10</v>
      </c>
      <c r="B14" s="26" t="s">
        <v>26</v>
      </c>
      <c r="C14" s="28" t="s">
        <v>114</v>
      </c>
      <c r="D14" s="28">
        <v>4</v>
      </c>
      <c r="E14" s="18" t="s">
        <v>139</v>
      </c>
      <c r="F14" s="18">
        <v>1</v>
      </c>
      <c r="G14" s="21">
        <f>VLOOKUP(Tabela13789[[#This Row],[Objekt/Naziv]],Tabela13[[Objekt/Naziv]:[vlom video skupaj]],27,FALSE)</f>
        <v>0</v>
      </c>
      <c r="H14" s="21">
        <f>Tabela13789[[#This Row],[cena/em]]*Tabela13789[[#This Row],[št. pregledo /leto]]</f>
        <v>0</v>
      </c>
      <c r="I14" s="21">
        <f>Tabela13789[[#This Row],[Cena skupaj v EUR brez DDV / leto]]*4</f>
        <v>0</v>
      </c>
      <c r="J14" s="21">
        <f>Tabela13789[[#This Row],[Cena v EUR brez DDV /4  leta]]*1.22</f>
        <v>0</v>
      </c>
    </row>
    <row r="15" spans="1:10" x14ac:dyDescent="0.3">
      <c r="A15" s="2">
        <v>11</v>
      </c>
      <c r="B15" s="26" t="s">
        <v>27</v>
      </c>
      <c r="C15" s="28" t="s">
        <v>114</v>
      </c>
      <c r="D15" s="28">
        <v>4</v>
      </c>
      <c r="E15" s="18" t="s">
        <v>139</v>
      </c>
      <c r="F15" s="18">
        <v>1</v>
      </c>
      <c r="G15" s="21">
        <f>VLOOKUP(Tabela13789[[#This Row],[Objekt/Naziv]],Tabela13[[Objekt/Naziv]:[vlom video skupaj]],27,FALSE)</f>
        <v>0</v>
      </c>
      <c r="H15" s="21">
        <f>Tabela13789[[#This Row],[cena/em]]*Tabela13789[[#This Row],[št. pregledo /leto]]</f>
        <v>0</v>
      </c>
      <c r="I15" s="21">
        <f>Tabela13789[[#This Row],[Cena skupaj v EUR brez DDV / leto]]*4</f>
        <v>0</v>
      </c>
      <c r="J15" s="21">
        <f>Tabela13789[[#This Row],[Cena v EUR brez DDV /4  leta]]*1.22</f>
        <v>0</v>
      </c>
    </row>
    <row r="16" spans="1:10" x14ac:dyDescent="0.3">
      <c r="A16" s="2">
        <v>12</v>
      </c>
      <c r="B16" s="26" t="s">
        <v>28</v>
      </c>
      <c r="C16" s="28" t="s">
        <v>114</v>
      </c>
      <c r="D16" s="28">
        <v>4</v>
      </c>
      <c r="E16" s="18" t="s">
        <v>139</v>
      </c>
      <c r="F16" s="18">
        <v>1</v>
      </c>
      <c r="G16" s="21">
        <f>VLOOKUP(Tabela13789[[#This Row],[Objekt/Naziv]],Tabela13[[Objekt/Naziv]:[vlom video skupaj]],27,FALSE)</f>
        <v>0</v>
      </c>
      <c r="H16" s="21">
        <f>Tabela13789[[#This Row],[cena/em]]*Tabela13789[[#This Row],[št. pregledo /leto]]</f>
        <v>0</v>
      </c>
      <c r="I16" s="21">
        <f>Tabela13789[[#This Row],[Cena skupaj v EUR brez DDV / leto]]*4</f>
        <v>0</v>
      </c>
      <c r="J16" s="21">
        <f>Tabela13789[[#This Row],[Cena v EUR brez DDV /4  leta]]*1.22</f>
        <v>0</v>
      </c>
    </row>
    <row r="17" spans="1:10" x14ac:dyDescent="0.3">
      <c r="A17" s="2">
        <v>13</v>
      </c>
      <c r="B17" s="26" t="s">
        <v>99</v>
      </c>
      <c r="C17" s="28" t="s">
        <v>114</v>
      </c>
      <c r="D17" s="28">
        <v>4</v>
      </c>
      <c r="E17" s="18" t="s">
        <v>139</v>
      </c>
      <c r="F17" s="18">
        <v>1</v>
      </c>
      <c r="G17" s="21">
        <f>VLOOKUP(Tabela13789[[#This Row],[Objekt/Naziv]],Tabela13[[Objekt/Naziv]:[vlom video skupaj]],27,FALSE)</f>
        <v>0</v>
      </c>
      <c r="H17" s="21">
        <f>Tabela13789[[#This Row],[cena/em]]*Tabela13789[[#This Row],[št. pregledo /leto]]</f>
        <v>0</v>
      </c>
      <c r="I17" s="21">
        <f>Tabela13789[[#This Row],[Cena skupaj v EUR brez DDV / leto]]*4</f>
        <v>0</v>
      </c>
      <c r="J17" s="21">
        <f>Tabela13789[[#This Row],[Cena v EUR brez DDV /4  leta]]*1.22</f>
        <v>0</v>
      </c>
    </row>
    <row r="18" spans="1:10" x14ac:dyDescent="0.3">
      <c r="A18" s="2">
        <v>14</v>
      </c>
      <c r="B18" s="26" t="s">
        <v>25</v>
      </c>
      <c r="C18" s="28" t="s">
        <v>114</v>
      </c>
      <c r="D18" s="28">
        <v>4</v>
      </c>
      <c r="E18" s="18" t="s">
        <v>139</v>
      </c>
      <c r="F18" s="18">
        <v>1</v>
      </c>
      <c r="G18" s="21">
        <f>VLOOKUP(Tabela13789[[#This Row],[Objekt/Naziv]],Tabela13[[Objekt/Naziv]:[vlom video skupaj]],27,FALSE)</f>
        <v>0</v>
      </c>
      <c r="H18" s="21">
        <f>Tabela13789[[#This Row],[cena/em]]*Tabela13789[[#This Row],[št. pregledo /leto]]</f>
        <v>0</v>
      </c>
      <c r="I18" s="21">
        <f>Tabela13789[[#This Row],[Cena skupaj v EUR brez DDV / leto]]*4</f>
        <v>0</v>
      </c>
      <c r="J18" s="21">
        <f>Tabela13789[[#This Row],[Cena v EUR brez DDV /4  leta]]*1.22</f>
        <v>0</v>
      </c>
    </row>
    <row r="19" spans="1:10" x14ac:dyDescent="0.3">
      <c r="A19" s="2">
        <v>15</v>
      </c>
      <c r="B19" s="26" t="s">
        <v>29</v>
      </c>
      <c r="C19" s="28" t="s">
        <v>118</v>
      </c>
      <c r="D19" s="28">
        <v>4</v>
      </c>
      <c r="E19" s="18" t="s">
        <v>139</v>
      </c>
      <c r="F19" s="18">
        <v>1</v>
      </c>
      <c r="G19" s="21">
        <f>VLOOKUP(Tabela13789[[#This Row],[Objekt/Naziv]],Tabela13[[Objekt/Naziv]:[vlom video skupaj]],27,FALSE)</f>
        <v>0</v>
      </c>
      <c r="H19" s="21">
        <f>Tabela13789[[#This Row],[cena/em]]*Tabela13789[[#This Row],[št. pregledo /leto]]</f>
        <v>0</v>
      </c>
      <c r="I19" s="21">
        <f>Tabela13789[[#This Row],[Cena skupaj v EUR brez DDV / leto]]*4</f>
        <v>0</v>
      </c>
      <c r="J19" s="21">
        <f>Tabela13789[[#This Row],[Cena v EUR brez DDV /4  leta]]*1.22</f>
        <v>0</v>
      </c>
    </row>
    <row r="20" spans="1:10" x14ac:dyDescent="0.3">
      <c r="A20" s="2">
        <v>16</v>
      </c>
      <c r="B20" s="26" t="s">
        <v>30</v>
      </c>
      <c r="C20" s="28" t="s">
        <v>116</v>
      </c>
      <c r="D20" s="28">
        <v>4</v>
      </c>
      <c r="E20" s="18" t="s">
        <v>139</v>
      </c>
      <c r="F20" s="18">
        <v>1</v>
      </c>
      <c r="G20" s="21">
        <f>VLOOKUP(Tabela13789[[#This Row],[Objekt/Naziv]],Tabela13[[Objekt/Naziv]:[vlom video skupaj]],27,FALSE)</f>
        <v>0</v>
      </c>
      <c r="H20" s="21">
        <f>Tabela13789[[#This Row],[cena/em]]*Tabela13789[[#This Row],[št. pregledo /leto]]</f>
        <v>0</v>
      </c>
      <c r="I20" s="21">
        <f>Tabela13789[[#This Row],[Cena skupaj v EUR brez DDV / leto]]*4</f>
        <v>0</v>
      </c>
      <c r="J20" s="21">
        <f>Tabela13789[[#This Row],[Cena v EUR brez DDV /4  leta]]*1.22</f>
        <v>0</v>
      </c>
    </row>
    <row r="21" spans="1:10" x14ac:dyDescent="0.3">
      <c r="A21" s="2">
        <v>17</v>
      </c>
      <c r="B21" s="26" t="s">
        <v>31</v>
      </c>
      <c r="C21" s="28" t="s">
        <v>119</v>
      </c>
      <c r="D21" s="28">
        <v>4</v>
      </c>
      <c r="E21" s="18" t="s">
        <v>139</v>
      </c>
      <c r="F21" s="18">
        <v>1</v>
      </c>
      <c r="G21" s="21">
        <f>VLOOKUP(Tabela13789[[#This Row],[Objekt/Naziv]],Tabela13[[Objekt/Naziv]:[vlom video skupaj]],27,FALSE)</f>
        <v>0</v>
      </c>
      <c r="H21" s="21">
        <f>Tabela13789[[#This Row],[cena/em]]*Tabela13789[[#This Row],[št. pregledo /leto]]</f>
        <v>0</v>
      </c>
      <c r="I21" s="21">
        <f>Tabela13789[[#This Row],[Cena skupaj v EUR brez DDV / leto]]*4</f>
        <v>0</v>
      </c>
      <c r="J21" s="21">
        <f>Tabela13789[[#This Row],[Cena v EUR brez DDV /4  leta]]*1.22</f>
        <v>0</v>
      </c>
    </row>
    <row r="22" spans="1:10" x14ac:dyDescent="0.3">
      <c r="A22" s="2">
        <v>18</v>
      </c>
      <c r="B22" s="26" t="s">
        <v>87</v>
      </c>
      <c r="C22" s="28" t="s">
        <v>117</v>
      </c>
      <c r="D22" s="28">
        <v>4</v>
      </c>
      <c r="E22" s="18" t="s">
        <v>139</v>
      </c>
      <c r="F22" s="18">
        <v>1</v>
      </c>
      <c r="G22" s="21">
        <f>VLOOKUP(Tabela13789[[#This Row],[Objekt/Naziv]],Tabela13[[Objekt/Naziv]:[vlom video skupaj]],27,FALSE)</f>
        <v>0</v>
      </c>
      <c r="H22" s="21">
        <f>Tabela13789[[#This Row],[cena/em]]*Tabela13789[[#This Row],[št. pregledo /leto]]</f>
        <v>0</v>
      </c>
      <c r="I22" s="21">
        <f>Tabela13789[[#This Row],[Cena skupaj v EUR brez DDV / leto]]*4</f>
        <v>0</v>
      </c>
      <c r="J22" s="21">
        <f>Tabela13789[[#This Row],[Cena v EUR brez DDV /4  leta]]*1.22</f>
        <v>0</v>
      </c>
    </row>
    <row r="23" spans="1:10" x14ac:dyDescent="0.3">
      <c r="A23" s="2">
        <v>19</v>
      </c>
      <c r="B23" s="26" t="s">
        <v>86</v>
      </c>
      <c r="C23" s="28" t="s">
        <v>117</v>
      </c>
      <c r="D23" s="28">
        <v>4</v>
      </c>
      <c r="E23" s="18" t="s">
        <v>139</v>
      </c>
      <c r="F23" s="18">
        <v>1</v>
      </c>
      <c r="G23" s="21">
        <f>VLOOKUP(Tabela13789[[#This Row],[Objekt/Naziv]],Tabela13[[Objekt/Naziv]:[vlom video skupaj]],27,FALSE)</f>
        <v>0</v>
      </c>
      <c r="H23" s="21">
        <f>Tabela13789[[#This Row],[cena/em]]*Tabela13789[[#This Row],[št. pregledo /leto]]</f>
        <v>0</v>
      </c>
      <c r="I23" s="21">
        <f>Tabela13789[[#This Row],[Cena skupaj v EUR brez DDV / leto]]*4</f>
        <v>0</v>
      </c>
      <c r="J23" s="21">
        <f>Tabela13789[[#This Row],[Cena v EUR brez DDV /4  leta]]*1.22</f>
        <v>0</v>
      </c>
    </row>
    <row r="24" spans="1:10" x14ac:dyDescent="0.3">
      <c r="A24" s="2">
        <v>20</v>
      </c>
      <c r="B24" s="26" t="s">
        <v>32</v>
      </c>
      <c r="C24" s="28" t="s">
        <v>125</v>
      </c>
      <c r="D24" s="28">
        <v>4</v>
      </c>
      <c r="E24" s="18" t="s">
        <v>139</v>
      </c>
      <c r="F24" s="18">
        <v>1</v>
      </c>
      <c r="G24" s="21">
        <f>VLOOKUP(Tabela13789[[#This Row],[Objekt/Naziv]],Tabela13[[Objekt/Naziv]:[vlom video skupaj]],27,FALSE)</f>
        <v>0</v>
      </c>
      <c r="H24" s="21">
        <f>Tabela13789[[#This Row],[cena/em]]*Tabela13789[[#This Row],[št. pregledo /leto]]</f>
        <v>0</v>
      </c>
      <c r="I24" s="21">
        <f>Tabela13789[[#This Row],[Cena skupaj v EUR brez DDV / leto]]*4</f>
        <v>0</v>
      </c>
      <c r="J24" s="21">
        <f>Tabela13789[[#This Row],[Cena v EUR brez DDV /4  leta]]*1.22</f>
        <v>0</v>
      </c>
    </row>
    <row r="25" spans="1:10" x14ac:dyDescent="0.3">
      <c r="A25" s="2">
        <v>21</v>
      </c>
      <c r="B25" s="26" t="s">
        <v>33</v>
      </c>
      <c r="C25" s="28" t="s">
        <v>120</v>
      </c>
      <c r="D25" s="28">
        <v>4</v>
      </c>
      <c r="E25" s="18" t="s">
        <v>139</v>
      </c>
      <c r="F25" s="18">
        <v>1</v>
      </c>
      <c r="G25" s="21">
        <f>VLOOKUP(Tabela13789[[#This Row],[Objekt/Naziv]],Tabela13[[Objekt/Naziv]:[vlom video skupaj]],27,FALSE)</f>
        <v>0</v>
      </c>
      <c r="H25" s="21">
        <f>Tabela13789[[#This Row],[cena/em]]*Tabela13789[[#This Row],[št. pregledo /leto]]</f>
        <v>0</v>
      </c>
      <c r="I25" s="21">
        <f>Tabela13789[[#This Row],[Cena skupaj v EUR brez DDV / leto]]*4</f>
        <v>0</v>
      </c>
      <c r="J25" s="21">
        <f>Tabela13789[[#This Row],[Cena v EUR brez DDV /4  leta]]*1.22</f>
        <v>0</v>
      </c>
    </row>
    <row r="26" spans="1:10" x14ac:dyDescent="0.3">
      <c r="A26" s="88">
        <v>22</v>
      </c>
      <c r="B26" s="26" t="s">
        <v>34</v>
      </c>
      <c r="C26" s="28" t="s">
        <v>120</v>
      </c>
      <c r="D26" s="28">
        <v>4</v>
      </c>
      <c r="E26" s="18" t="s">
        <v>139</v>
      </c>
      <c r="F26" s="18">
        <v>1</v>
      </c>
      <c r="G26" s="21">
        <f>VLOOKUP(Tabela13789[[#This Row],[Objekt/Naziv]],Tabela13[[Objekt/Naziv]:[vlom video skupaj]],27,FALSE)</f>
        <v>0</v>
      </c>
      <c r="H26" s="21">
        <f>Tabela13789[[#This Row],[cena/em]]*Tabela13789[[#This Row],[št. pregledo /leto]]</f>
        <v>0</v>
      </c>
      <c r="I26" s="21">
        <f>Tabela13789[[#This Row],[Cena skupaj v EUR brez DDV / leto]]*4</f>
        <v>0</v>
      </c>
      <c r="J26" s="21">
        <f>Tabela13789[[#This Row],[Cena v EUR brez DDV /4  leta]]*1.22</f>
        <v>0</v>
      </c>
    </row>
    <row r="27" spans="1:10" x14ac:dyDescent="0.3">
      <c r="A27" s="2">
        <v>23</v>
      </c>
      <c r="B27" s="26" t="s">
        <v>35</v>
      </c>
      <c r="C27" s="28" t="s">
        <v>121</v>
      </c>
      <c r="D27" s="28">
        <v>4</v>
      </c>
      <c r="E27" s="18" t="s">
        <v>139</v>
      </c>
      <c r="F27" s="18">
        <v>1</v>
      </c>
      <c r="G27" s="21">
        <f>VLOOKUP(Tabela13789[[#This Row],[Objekt/Naziv]],Tabela13[[Objekt/Naziv]:[vlom video skupaj]],27,FALSE)</f>
        <v>0</v>
      </c>
      <c r="H27" s="21">
        <f>Tabela13789[[#This Row],[cena/em]]*Tabela13789[[#This Row],[št. pregledo /leto]]</f>
        <v>0</v>
      </c>
      <c r="I27" s="21">
        <f>Tabela13789[[#This Row],[Cena skupaj v EUR brez DDV / leto]]*4</f>
        <v>0</v>
      </c>
      <c r="J27" s="21">
        <f>Tabela13789[[#This Row],[Cena v EUR brez DDV /4  leta]]*1.22</f>
        <v>0</v>
      </c>
    </row>
    <row r="28" spans="1:10" x14ac:dyDescent="0.3">
      <c r="A28" s="88">
        <v>24</v>
      </c>
      <c r="B28" s="26" t="s">
        <v>36</v>
      </c>
      <c r="C28" s="28" t="s">
        <v>126</v>
      </c>
      <c r="D28" s="28">
        <v>4</v>
      </c>
      <c r="E28" s="18" t="s">
        <v>139</v>
      </c>
      <c r="F28" s="18">
        <v>1</v>
      </c>
      <c r="G28" s="21">
        <f>VLOOKUP(Tabela13789[[#This Row],[Objekt/Naziv]],Tabela13[[Objekt/Naziv]:[vlom video skupaj]],27,FALSE)</f>
        <v>0</v>
      </c>
      <c r="H28" s="21">
        <f>Tabela13789[[#This Row],[cena/em]]*Tabela13789[[#This Row],[št. pregledo /leto]]</f>
        <v>0</v>
      </c>
      <c r="I28" s="21">
        <f>Tabela13789[[#This Row],[Cena skupaj v EUR brez DDV / leto]]*4</f>
        <v>0</v>
      </c>
      <c r="J28" s="21">
        <f>Tabela13789[[#This Row],[Cena v EUR brez DDV /4  leta]]*1.22</f>
        <v>0</v>
      </c>
    </row>
    <row r="29" spans="1:10" x14ac:dyDescent="0.3">
      <c r="A29" s="2">
        <v>25</v>
      </c>
      <c r="B29" s="26" t="s">
        <v>37</v>
      </c>
      <c r="C29" s="28" t="s">
        <v>123</v>
      </c>
      <c r="D29" s="28">
        <v>4</v>
      </c>
      <c r="E29" s="18" t="s">
        <v>139</v>
      </c>
      <c r="F29" s="18">
        <v>1</v>
      </c>
      <c r="G29" s="21">
        <f>VLOOKUP(Tabela13789[[#This Row],[Objekt/Naziv]],Tabela13[[Objekt/Naziv]:[vlom video skupaj]],27,FALSE)</f>
        <v>0</v>
      </c>
      <c r="H29" s="21">
        <f>Tabela13789[[#This Row],[cena/em]]*Tabela13789[[#This Row],[št. pregledo /leto]]</f>
        <v>0</v>
      </c>
      <c r="I29" s="21">
        <f>Tabela13789[[#This Row],[Cena skupaj v EUR brez DDV / leto]]*4</f>
        <v>0</v>
      </c>
      <c r="J29" s="21">
        <f>Tabela13789[[#This Row],[Cena v EUR brez DDV /4  leta]]*1.22</f>
        <v>0</v>
      </c>
    </row>
    <row r="30" spans="1:10" x14ac:dyDescent="0.3">
      <c r="A30" s="88">
        <v>26</v>
      </c>
      <c r="B30" s="26" t="s">
        <v>100</v>
      </c>
      <c r="C30" s="28" t="s">
        <v>123</v>
      </c>
      <c r="D30" s="28">
        <v>4</v>
      </c>
      <c r="E30" s="18" t="s">
        <v>139</v>
      </c>
      <c r="F30" s="18">
        <v>1</v>
      </c>
      <c r="G30" s="21">
        <f>VLOOKUP(Tabela13789[[#This Row],[Objekt/Naziv]],Tabela13[[Objekt/Naziv]:[vlom video skupaj]],27,FALSE)</f>
        <v>0</v>
      </c>
      <c r="H30" s="21">
        <f>Tabela13789[[#This Row],[cena/em]]*Tabela13789[[#This Row],[št. pregledo /leto]]</f>
        <v>0</v>
      </c>
      <c r="I30" s="21">
        <f>Tabela13789[[#This Row],[Cena skupaj v EUR brez DDV / leto]]*4</f>
        <v>0</v>
      </c>
      <c r="J30" s="21">
        <f>Tabela13789[[#This Row],[Cena v EUR brez DDV /4  leta]]*1.22</f>
        <v>0</v>
      </c>
    </row>
    <row r="31" spans="1:10" x14ac:dyDescent="0.3">
      <c r="A31" s="2">
        <v>27</v>
      </c>
      <c r="B31" s="26" t="s">
        <v>38</v>
      </c>
      <c r="C31" s="28" t="s">
        <v>124</v>
      </c>
      <c r="D31" s="28">
        <v>4</v>
      </c>
      <c r="E31" s="18" t="s">
        <v>139</v>
      </c>
      <c r="F31" s="18">
        <v>1</v>
      </c>
      <c r="G31" s="21">
        <f>VLOOKUP(Tabela13789[[#This Row],[Objekt/Naziv]],Tabela13[[Objekt/Naziv]:[vlom video skupaj]],27,FALSE)</f>
        <v>0</v>
      </c>
      <c r="H31" s="21">
        <f>Tabela13789[[#This Row],[cena/em]]*Tabela13789[[#This Row],[št. pregledo /leto]]</f>
        <v>0</v>
      </c>
      <c r="I31" s="21">
        <f>Tabela13789[[#This Row],[Cena skupaj v EUR brez DDV / leto]]*4</f>
        <v>0</v>
      </c>
      <c r="J31" s="21">
        <f>Tabela13789[[#This Row],[Cena v EUR brez DDV /4  leta]]*1.22</f>
        <v>0</v>
      </c>
    </row>
    <row r="32" spans="1:10" x14ac:dyDescent="0.3">
      <c r="A32" s="88">
        <v>28</v>
      </c>
      <c r="B32" s="26" t="s">
        <v>39</v>
      </c>
      <c r="C32" s="28" t="s">
        <v>124</v>
      </c>
      <c r="D32" s="28">
        <v>4</v>
      </c>
      <c r="E32" s="18" t="s">
        <v>139</v>
      </c>
      <c r="F32" s="18">
        <v>1</v>
      </c>
      <c r="G32" s="21">
        <f>VLOOKUP(Tabela13789[[#This Row],[Objekt/Naziv]],Tabela13[[Objekt/Naziv]:[vlom video skupaj]],27,FALSE)</f>
        <v>0</v>
      </c>
      <c r="H32" s="21">
        <f>Tabela13789[[#This Row],[cena/em]]*Tabela13789[[#This Row],[št. pregledo /leto]]</f>
        <v>0</v>
      </c>
      <c r="I32" s="21">
        <f>Tabela13789[[#This Row],[Cena skupaj v EUR brez DDV / leto]]*4</f>
        <v>0</v>
      </c>
      <c r="J32" s="21">
        <f>Tabela13789[[#This Row],[Cena v EUR brez DDV /4  leta]]*1.22</f>
        <v>0</v>
      </c>
    </row>
    <row r="33" spans="1:10" x14ac:dyDescent="0.3">
      <c r="A33" s="2">
        <v>29</v>
      </c>
      <c r="B33" s="90" t="s">
        <v>40</v>
      </c>
      <c r="C33" s="28" t="s">
        <v>124</v>
      </c>
      <c r="D33" s="28">
        <v>4</v>
      </c>
      <c r="E33" s="18" t="s">
        <v>139</v>
      </c>
      <c r="F33" s="18">
        <v>1</v>
      </c>
      <c r="G33" s="21">
        <f>VLOOKUP(Tabela13789[[#This Row],[Objekt/Naziv]],Tabela13[[Objekt/Naziv]:[vlom video skupaj]],27,FALSE)</f>
        <v>0</v>
      </c>
      <c r="H33" s="21">
        <f>Tabela13789[[#This Row],[cena/em]]*Tabela13789[[#This Row],[št. pregledo /leto]]</f>
        <v>0</v>
      </c>
      <c r="I33" s="21">
        <f>Tabela13789[[#This Row],[Cena skupaj v EUR brez DDV / leto]]*4</f>
        <v>0</v>
      </c>
      <c r="J33" s="21">
        <f>Tabela13789[[#This Row],[Cena v EUR brez DDV /4  leta]]*1.22</f>
        <v>0</v>
      </c>
    </row>
    <row r="34" spans="1:10" x14ac:dyDescent="0.3">
      <c r="A34" s="31"/>
      <c r="B34" s="32"/>
      <c r="C34" s="33"/>
      <c r="D34" s="33"/>
      <c r="E34" s="34"/>
      <c r="F34" s="93" t="s">
        <v>155</v>
      </c>
      <c r="G34" s="35"/>
      <c r="H34" s="36">
        <f>SUBTOTAL(109,H5:H33)</f>
        <v>0</v>
      </c>
      <c r="I34" s="36">
        <f t="shared" ref="I34:J34" si="0">SUBTOTAL(109,I5:I33)</f>
        <v>0</v>
      </c>
      <c r="J34" s="36">
        <f t="shared" si="0"/>
        <v>0</v>
      </c>
    </row>
  </sheetData>
  <sheetProtection algorithmName="SHA-512" hashValue="cWQ09IrGcNyx5YNqfPbF40YWF/XWzWTKSMkyxCXtZ7q2Vy7OpYPjh2k8gR/DlyKEToXXzmDZHnc2qveqR+4Q3A==" saltValue="QDP98lW50vijRWJRc6oUSw==" spinCount="100000" sheet="1" objects="1" scenarios="1"/>
  <pageMargins left="0" right="0" top="0" bottom="0" header="0" footer="0"/>
  <pageSetup paperSize="8" scale="51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D41"/>
  <sheetViews>
    <sheetView tabSelected="1" topLeftCell="H1" zoomScale="70" zoomScaleNormal="70" workbookViewId="0">
      <pane ySplit="3" topLeftCell="A25" activePane="bottomLeft" state="frozen"/>
      <selection activeCell="C3" sqref="C3"/>
      <selection pane="bottomLeft" activeCell="AC29" sqref="AC29"/>
    </sheetView>
  </sheetViews>
  <sheetFormatPr defaultColWidth="8.88671875" defaultRowHeight="14.4" x14ac:dyDescent="0.3"/>
  <cols>
    <col min="1" max="1" width="8" style="41" customWidth="1"/>
    <col min="2" max="2" width="31.5546875" style="42" customWidth="1"/>
    <col min="3" max="3" width="39.5546875" style="41" customWidth="1"/>
    <col min="4" max="4" width="10.44140625" style="41" customWidth="1"/>
    <col min="5" max="5" width="8.109375" style="41" customWidth="1"/>
    <col min="6" max="6" width="8.6640625" style="41" customWidth="1"/>
    <col min="7" max="7" width="8.109375" style="41" customWidth="1"/>
    <col min="8" max="8" width="11.109375" style="41" customWidth="1"/>
    <col min="9" max="9" width="13" style="41" customWidth="1"/>
    <col min="10" max="10" width="13.109375" style="41" customWidth="1"/>
    <col min="11" max="12" width="11.33203125" style="42" customWidth="1"/>
    <col min="13" max="13" width="12.109375" style="68" customWidth="1"/>
    <col min="14" max="14" width="13" style="42" customWidth="1"/>
    <col min="15" max="15" width="5.88671875" style="41" customWidth="1"/>
    <col min="16" max="16" width="9.5546875" style="41" customWidth="1"/>
    <col min="17" max="17" width="9.33203125" style="42" customWidth="1"/>
    <col min="18" max="18" width="8.44140625" style="41" customWidth="1"/>
    <col min="19" max="19" width="13.5546875" style="42" customWidth="1"/>
    <col min="20" max="20" width="9.5546875" style="42" customWidth="1"/>
    <col min="21" max="21" width="13" style="42" customWidth="1"/>
    <col min="22" max="22" width="12.33203125" style="41" customWidth="1"/>
    <col min="23" max="23" width="9.88671875" style="41" customWidth="1"/>
    <col min="24" max="24" width="9.44140625" style="41" customWidth="1"/>
    <col min="25" max="25" width="8.109375" style="41" customWidth="1"/>
    <col min="26" max="26" width="10.88671875" style="42" customWidth="1"/>
    <col min="27" max="27" width="13" style="42" customWidth="1"/>
    <col min="28" max="28" width="13" style="86" customWidth="1"/>
    <col min="29" max="29" width="22.109375" style="41" customWidth="1"/>
    <col min="30" max="30" width="35.33203125" style="42" customWidth="1"/>
    <col min="31" max="16384" width="8.88671875" style="41"/>
  </cols>
  <sheetData>
    <row r="1" spans="1:30" x14ac:dyDescent="0.3">
      <c r="E1" s="43"/>
      <c r="F1" s="43"/>
      <c r="G1" s="43"/>
      <c r="H1" s="43"/>
      <c r="I1" s="43"/>
      <c r="J1" s="43"/>
      <c r="K1" s="44"/>
      <c r="L1" s="44"/>
      <c r="M1" s="66"/>
      <c r="N1" s="44"/>
      <c r="O1" s="43"/>
      <c r="P1" s="43"/>
      <c r="Q1" s="44"/>
      <c r="R1" s="43"/>
      <c r="S1" s="44"/>
      <c r="T1" s="44"/>
      <c r="U1" s="44"/>
      <c r="V1" s="43"/>
      <c r="W1" s="43"/>
      <c r="X1" s="43"/>
      <c r="Y1" s="43"/>
      <c r="Z1" s="44"/>
      <c r="AA1" s="44"/>
      <c r="AB1" s="83"/>
    </row>
    <row r="2" spans="1:30" s="45" customFormat="1" x14ac:dyDescent="0.3">
      <c r="B2" s="46"/>
      <c r="E2" s="120" t="s">
        <v>0</v>
      </c>
      <c r="F2" s="120"/>
      <c r="G2" s="120"/>
      <c r="H2" s="120"/>
      <c r="I2" s="120"/>
      <c r="J2" s="120"/>
      <c r="K2" s="120"/>
      <c r="L2" s="11"/>
      <c r="M2" s="67"/>
      <c r="N2" s="11"/>
      <c r="O2" s="117" t="s">
        <v>42</v>
      </c>
      <c r="P2" s="118"/>
      <c r="Q2" s="118"/>
      <c r="R2" s="118"/>
      <c r="S2" s="118"/>
      <c r="T2" s="118"/>
      <c r="U2" s="119"/>
      <c r="V2" s="114" t="s">
        <v>44</v>
      </c>
      <c r="W2" s="115"/>
      <c r="X2" s="115"/>
      <c r="Y2" s="115"/>
      <c r="Z2" s="115"/>
      <c r="AA2" s="116"/>
      <c r="AB2" s="84"/>
      <c r="AC2" s="47"/>
      <c r="AD2" s="48"/>
    </row>
    <row r="3" spans="1:30" s="46" customFormat="1" ht="43.2" x14ac:dyDescent="0.3">
      <c r="A3" s="98" t="s">
        <v>128</v>
      </c>
      <c r="B3" s="98" t="s">
        <v>59</v>
      </c>
      <c r="C3" s="99" t="s">
        <v>109</v>
      </c>
      <c r="D3" s="99" t="s">
        <v>107</v>
      </c>
      <c r="E3" s="14" t="s">
        <v>57</v>
      </c>
      <c r="F3" s="14" t="s">
        <v>172</v>
      </c>
      <c r="G3" s="14" t="s">
        <v>171</v>
      </c>
      <c r="H3" s="14" t="s">
        <v>170</v>
      </c>
      <c r="I3" s="14" t="s">
        <v>169</v>
      </c>
      <c r="J3" s="15" t="s">
        <v>60</v>
      </c>
      <c r="K3" s="15" t="s">
        <v>168</v>
      </c>
      <c r="L3" s="15" t="s">
        <v>135</v>
      </c>
      <c r="M3" s="110" t="s">
        <v>156</v>
      </c>
      <c r="N3" s="15" t="s">
        <v>137</v>
      </c>
      <c r="O3" s="49" t="s">
        <v>58</v>
      </c>
      <c r="P3" s="49" t="s">
        <v>166</v>
      </c>
      <c r="Q3" s="49" t="s">
        <v>165</v>
      </c>
      <c r="R3" s="49" t="s">
        <v>163</v>
      </c>
      <c r="S3" s="49" t="s">
        <v>167</v>
      </c>
      <c r="T3" s="49" t="s">
        <v>61</v>
      </c>
      <c r="U3" s="95" t="s">
        <v>157</v>
      </c>
      <c r="V3" s="50" t="s">
        <v>162</v>
      </c>
      <c r="W3" s="50" t="s">
        <v>161</v>
      </c>
      <c r="X3" s="50" t="s">
        <v>160</v>
      </c>
      <c r="Y3" s="50" t="s">
        <v>159</v>
      </c>
      <c r="Z3" s="50" t="s">
        <v>164</v>
      </c>
      <c r="AA3" s="95" t="s">
        <v>158</v>
      </c>
      <c r="AB3" s="87" t="s">
        <v>148</v>
      </c>
      <c r="AC3" s="51" t="s">
        <v>46</v>
      </c>
      <c r="AD3" s="51" t="s">
        <v>108</v>
      </c>
    </row>
    <row r="4" spans="1:30" ht="28.8" x14ac:dyDescent="0.3">
      <c r="A4" s="29">
        <v>1</v>
      </c>
      <c r="B4" s="13" t="s">
        <v>17</v>
      </c>
      <c r="C4" s="29" t="s">
        <v>110</v>
      </c>
      <c r="D4" s="29">
        <v>1.4</v>
      </c>
      <c r="E4" s="4">
        <v>369</v>
      </c>
      <c r="F4" s="4">
        <v>7</v>
      </c>
      <c r="G4" s="4">
        <f>'Spec. opreme po objektih'!U17201</f>
        <v>0</v>
      </c>
      <c r="H4" s="4">
        <v>43</v>
      </c>
      <c r="I4" s="4">
        <v>305</v>
      </c>
      <c r="J4" s="3" t="s">
        <v>43</v>
      </c>
      <c r="K4" s="3" t="s">
        <v>43</v>
      </c>
      <c r="L4" s="94">
        <v>4</v>
      </c>
      <c r="M4" s="111"/>
      <c r="N4" s="89">
        <f>Tabela13[[#This Row],[Št. vzdrž. pregledov/letno]]*Tabela13[[#This Row],[Cena/pregled (požar)]]</f>
        <v>0</v>
      </c>
      <c r="O4" s="8">
        <v>48</v>
      </c>
      <c r="P4" s="8">
        <v>7</v>
      </c>
      <c r="Q4" s="8">
        <v>2</v>
      </c>
      <c r="R4" s="52" t="s">
        <v>49</v>
      </c>
      <c r="S4" s="8" t="s">
        <v>48</v>
      </c>
      <c r="T4" s="52" t="s">
        <v>18</v>
      </c>
      <c r="U4" s="111"/>
      <c r="V4" s="9">
        <v>3</v>
      </c>
      <c r="W4" s="9">
        <v>16</v>
      </c>
      <c r="X4" s="9">
        <v>24</v>
      </c>
      <c r="Y4" s="9">
        <v>17</v>
      </c>
      <c r="Z4" s="9" t="s">
        <v>45</v>
      </c>
      <c r="AA4" s="111"/>
      <c r="AB4" s="96">
        <f>Tabela13[[#This Row],[Cena/pregled (vlom)]]+Tabela13[[#This Row],[cena/pregled (video)]]</f>
        <v>0</v>
      </c>
      <c r="AC4" s="53" t="s">
        <v>71</v>
      </c>
      <c r="AD4" s="54" t="s">
        <v>2</v>
      </c>
    </row>
    <row r="5" spans="1:30" ht="28.8" x14ac:dyDescent="0.3">
      <c r="A5" s="29">
        <v>2</v>
      </c>
      <c r="B5" s="26" t="s">
        <v>98</v>
      </c>
      <c r="C5" s="29" t="s">
        <v>111</v>
      </c>
      <c r="D5" s="29">
        <v>1.3</v>
      </c>
      <c r="E5" s="4">
        <v>1819</v>
      </c>
      <c r="F5" s="4"/>
      <c r="G5" s="4">
        <v>219</v>
      </c>
      <c r="H5" s="4">
        <v>116</v>
      </c>
      <c r="I5" s="4">
        <v>1484</v>
      </c>
      <c r="J5" s="4">
        <v>1</v>
      </c>
      <c r="K5" s="6" t="s">
        <v>97</v>
      </c>
      <c r="L5" s="6">
        <v>4</v>
      </c>
      <c r="M5" s="111"/>
      <c r="N5" s="89">
        <f>Tabela13[[#This Row],[Št. vzdrž. pregledov/letno]]*Tabela13[[#This Row],[Cena/pregled (požar)]]</f>
        <v>0</v>
      </c>
      <c r="O5" s="8"/>
      <c r="P5" s="8"/>
      <c r="Q5" s="8"/>
      <c r="R5" s="52"/>
      <c r="S5" s="8"/>
      <c r="T5" s="52"/>
      <c r="U5" s="111"/>
      <c r="V5" s="9"/>
      <c r="W5" s="9"/>
      <c r="X5" s="9"/>
      <c r="Y5" s="9"/>
      <c r="Z5" s="9"/>
      <c r="AA5" s="111"/>
      <c r="AB5" s="96">
        <f>Tabela13[[#This Row],[Cena/pregled (vlom)]]+Tabela13[[#This Row],[cena/pregled (video)]]</f>
        <v>0</v>
      </c>
      <c r="AC5" s="53" t="s">
        <v>94</v>
      </c>
      <c r="AD5" s="54" t="s">
        <v>16</v>
      </c>
    </row>
    <row r="6" spans="1:30" ht="28.8" x14ac:dyDescent="0.3">
      <c r="A6" s="29">
        <v>3</v>
      </c>
      <c r="B6" s="26" t="s">
        <v>95</v>
      </c>
      <c r="C6" s="29" t="s">
        <v>111</v>
      </c>
      <c r="D6" s="29">
        <v>1</v>
      </c>
      <c r="E6" s="4"/>
      <c r="F6" s="4"/>
      <c r="G6" s="4"/>
      <c r="H6" s="4"/>
      <c r="I6" s="4"/>
      <c r="J6" s="4"/>
      <c r="K6" s="6" t="s">
        <v>96</v>
      </c>
      <c r="L6" s="6">
        <v>4</v>
      </c>
      <c r="M6" s="111"/>
      <c r="N6" s="89">
        <f>Tabela13[[#This Row],[Št. vzdrž. pregledov/letno]]*Tabela13[[#This Row],[Cena/pregled (požar)]]</f>
        <v>0</v>
      </c>
      <c r="O6" s="8"/>
      <c r="P6" s="8"/>
      <c r="Q6" s="8"/>
      <c r="R6" s="52"/>
      <c r="S6" s="8"/>
      <c r="T6" s="52"/>
      <c r="U6" s="111"/>
      <c r="V6" s="9"/>
      <c r="W6" s="9"/>
      <c r="X6" s="9"/>
      <c r="Y6" s="9"/>
      <c r="Z6" s="9"/>
      <c r="AA6" s="111"/>
      <c r="AB6" s="96">
        <f>Tabela13[[#This Row],[Cena/pregled (vlom)]]+Tabela13[[#This Row],[cena/pregled (video)]]</f>
        <v>0</v>
      </c>
      <c r="AC6" s="53" t="s">
        <v>94</v>
      </c>
      <c r="AD6" s="54" t="s">
        <v>16</v>
      </c>
    </row>
    <row r="7" spans="1:30" ht="28.8" x14ac:dyDescent="0.3">
      <c r="A7" s="29">
        <v>4</v>
      </c>
      <c r="B7" s="26" t="s">
        <v>20</v>
      </c>
      <c r="C7" s="29" t="s">
        <v>112</v>
      </c>
      <c r="D7" s="29">
        <v>4</v>
      </c>
      <c r="E7" s="4" t="s">
        <v>18</v>
      </c>
      <c r="F7" s="4" t="s">
        <v>18</v>
      </c>
      <c r="G7" s="4" t="s">
        <v>18</v>
      </c>
      <c r="H7" s="4" t="s">
        <v>18</v>
      </c>
      <c r="I7" s="4" t="s">
        <v>18</v>
      </c>
      <c r="J7" s="4" t="s">
        <v>18</v>
      </c>
      <c r="K7" s="4" t="s">
        <v>18</v>
      </c>
      <c r="L7" s="4">
        <v>0</v>
      </c>
      <c r="M7" s="111"/>
      <c r="N7" s="89">
        <f>Tabela13[[#This Row],[Št. vzdrž. pregledov/letno]]*Tabela13[[#This Row],[Cena/pregled (požar)]]</f>
        <v>0</v>
      </c>
      <c r="O7" s="8">
        <v>38</v>
      </c>
      <c r="P7" s="8">
        <v>5</v>
      </c>
      <c r="Q7" s="8">
        <v>4</v>
      </c>
      <c r="R7" s="52" t="s">
        <v>91</v>
      </c>
      <c r="S7" s="52" t="s">
        <v>92</v>
      </c>
      <c r="T7" s="52" t="s">
        <v>93</v>
      </c>
      <c r="U7" s="111"/>
      <c r="V7" s="9" t="s">
        <v>18</v>
      </c>
      <c r="W7" s="9" t="s">
        <v>18</v>
      </c>
      <c r="X7" s="9" t="s">
        <v>18</v>
      </c>
      <c r="Y7" s="9" t="s">
        <v>18</v>
      </c>
      <c r="Z7" s="9" t="s">
        <v>18</v>
      </c>
      <c r="AA7" s="111"/>
      <c r="AB7" s="96">
        <f>Tabela13[[#This Row],[Cena/pregled (vlom)]]+Tabela13[[#This Row],[cena/pregled (video)]]</f>
        <v>0</v>
      </c>
      <c r="AC7" s="53" t="s">
        <v>69</v>
      </c>
      <c r="AD7" s="54" t="s">
        <v>70</v>
      </c>
    </row>
    <row r="8" spans="1:30" ht="28.8" x14ac:dyDescent="0.3">
      <c r="A8" s="29">
        <v>5</v>
      </c>
      <c r="B8" s="26" t="s">
        <v>21</v>
      </c>
      <c r="C8" s="29" t="s">
        <v>113</v>
      </c>
      <c r="D8" s="29">
        <v>4</v>
      </c>
      <c r="E8" s="4" t="s">
        <v>18</v>
      </c>
      <c r="F8" s="4" t="s">
        <v>18</v>
      </c>
      <c r="G8" s="4" t="s">
        <v>18</v>
      </c>
      <c r="H8" s="4" t="s">
        <v>18</v>
      </c>
      <c r="I8" s="4" t="s">
        <v>18</v>
      </c>
      <c r="J8" s="4" t="s">
        <v>18</v>
      </c>
      <c r="K8" s="4" t="s">
        <v>18</v>
      </c>
      <c r="L8" s="4">
        <v>0</v>
      </c>
      <c r="M8" s="111"/>
      <c r="N8" s="89">
        <f>Tabela13[[#This Row],[Št. vzdrž. pregledov/letno]]*Tabela13[[#This Row],[Cena/pregled (požar)]]</f>
        <v>0</v>
      </c>
      <c r="O8" s="8">
        <v>9</v>
      </c>
      <c r="P8" s="8">
        <v>1</v>
      </c>
      <c r="Q8" s="8"/>
      <c r="R8" s="52" t="s">
        <v>49</v>
      </c>
      <c r="S8" s="8" t="s">
        <v>48</v>
      </c>
      <c r="T8" s="52" t="s">
        <v>18</v>
      </c>
      <c r="U8" s="111"/>
      <c r="V8" s="9" t="s">
        <v>18</v>
      </c>
      <c r="W8" s="9" t="s">
        <v>18</v>
      </c>
      <c r="X8" s="9" t="s">
        <v>18</v>
      </c>
      <c r="Y8" s="9" t="s">
        <v>18</v>
      </c>
      <c r="Z8" s="9" t="s">
        <v>18</v>
      </c>
      <c r="AA8" s="111"/>
      <c r="AB8" s="96">
        <f>Tabela13[[#This Row],[Cena/pregled (vlom)]]+Tabela13[[#This Row],[cena/pregled (video)]]</f>
        <v>0</v>
      </c>
      <c r="AC8" s="53" t="s">
        <v>77</v>
      </c>
      <c r="AD8" s="54" t="s">
        <v>15</v>
      </c>
    </row>
    <row r="9" spans="1:30" ht="28.8" x14ac:dyDescent="0.3">
      <c r="A9" s="29">
        <v>6</v>
      </c>
      <c r="B9" s="26" t="s">
        <v>22</v>
      </c>
      <c r="C9" s="29" t="s">
        <v>114</v>
      </c>
      <c r="D9" s="29">
        <v>4</v>
      </c>
      <c r="E9" s="4" t="s">
        <v>18</v>
      </c>
      <c r="F9" s="4" t="s">
        <v>18</v>
      </c>
      <c r="G9" s="4" t="s">
        <v>18</v>
      </c>
      <c r="H9" s="4" t="s">
        <v>18</v>
      </c>
      <c r="I9" s="4" t="s">
        <v>18</v>
      </c>
      <c r="J9" s="4" t="s">
        <v>18</v>
      </c>
      <c r="K9" s="4" t="s">
        <v>18</v>
      </c>
      <c r="L9" s="4">
        <v>0</v>
      </c>
      <c r="M9" s="111"/>
      <c r="N9" s="89">
        <f>Tabela13[[#This Row],[Št. vzdrž. pregledov/letno]]*Tabela13[[#This Row],[Cena/pregled (požar)]]</f>
        <v>0</v>
      </c>
      <c r="O9" s="8">
        <v>15</v>
      </c>
      <c r="P9" s="8">
        <v>2</v>
      </c>
      <c r="Q9" s="8">
        <v>2</v>
      </c>
      <c r="R9" s="52" t="s">
        <v>49</v>
      </c>
      <c r="S9" s="8" t="s">
        <v>48</v>
      </c>
      <c r="T9" s="52" t="s">
        <v>18</v>
      </c>
      <c r="U9" s="111"/>
      <c r="V9" s="9">
        <v>1</v>
      </c>
      <c r="W9" s="9">
        <v>8</v>
      </c>
      <c r="X9" s="9">
        <v>4</v>
      </c>
      <c r="Y9" s="9">
        <v>2</v>
      </c>
      <c r="Z9" s="9" t="s">
        <v>45</v>
      </c>
      <c r="AA9" s="111"/>
      <c r="AB9" s="96">
        <f>Tabela13[[#This Row],[Cena/pregled (vlom)]]+Tabela13[[#This Row],[cena/pregled (video)]]</f>
        <v>0</v>
      </c>
      <c r="AC9" s="53" t="s">
        <v>55</v>
      </c>
      <c r="AD9" s="54" t="s">
        <v>11</v>
      </c>
    </row>
    <row r="10" spans="1:30" x14ac:dyDescent="0.3">
      <c r="A10" s="29">
        <v>7</v>
      </c>
      <c r="B10" s="26" t="s">
        <v>23</v>
      </c>
      <c r="C10" s="29" t="s">
        <v>114</v>
      </c>
      <c r="D10" s="29">
        <v>4</v>
      </c>
      <c r="E10" s="4" t="s">
        <v>18</v>
      </c>
      <c r="F10" s="4" t="s">
        <v>18</v>
      </c>
      <c r="G10" s="4" t="s">
        <v>18</v>
      </c>
      <c r="H10" s="4" t="s">
        <v>18</v>
      </c>
      <c r="I10" s="4" t="s">
        <v>18</v>
      </c>
      <c r="J10" s="4" t="s">
        <v>18</v>
      </c>
      <c r="K10" s="4" t="s">
        <v>18</v>
      </c>
      <c r="L10" s="4">
        <v>0</v>
      </c>
      <c r="M10" s="111"/>
      <c r="N10" s="89">
        <f>Tabela13[[#This Row],[Št. vzdrž. pregledov/letno]]*Tabela13[[#This Row],[Cena/pregled (požar)]]</f>
        <v>0</v>
      </c>
      <c r="O10" s="8">
        <v>8</v>
      </c>
      <c r="P10" s="8">
        <v>1</v>
      </c>
      <c r="Q10" s="8">
        <v>1</v>
      </c>
      <c r="R10" s="52" t="s">
        <v>78</v>
      </c>
      <c r="S10" s="8" t="s">
        <v>48</v>
      </c>
      <c r="T10" s="52" t="s">
        <v>18</v>
      </c>
      <c r="U10" s="111"/>
      <c r="V10" s="9"/>
      <c r="W10" s="9"/>
      <c r="X10" s="9"/>
      <c r="Y10" s="9"/>
      <c r="Z10" s="9"/>
      <c r="AA10" s="111"/>
      <c r="AB10" s="96">
        <f>Tabela13[[#This Row],[Cena/pregled (vlom)]]+Tabela13[[#This Row],[cena/pregled (video)]]</f>
        <v>0</v>
      </c>
      <c r="AC10" s="53" t="s">
        <v>56</v>
      </c>
      <c r="AD10" s="54" t="s">
        <v>10</v>
      </c>
    </row>
    <row r="11" spans="1:30" ht="28.8" x14ac:dyDescent="0.3">
      <c r="A11" s="29">
        <v>8</v>
      </c>
      <c r="B11" s="26" t="s">
        <v>24</v>
      </c>
      <c r="C11" s="29" t="s">
        <v>114</v>
      </c>
      <c r="D11" s="29">
        <v>4</v>
      </c>
      <c r="E11" s="4" t="s">
        <v>18</v>
      </c>
      <c r="F11" s="4" t="s">
        <v>18</v>
      </c>
      <c r="G11" s="4" t="s">
        <v>18</v>
      </c>
      <c r="H11" s="4" t="s">
        <v>18</v>
      </c>
      <c r="I11" s="4" t="s">
        <v>18</v>
      </c>
      <c r="J11" s="4" t="s">
        <v>18</v>
      </c>
      <c r="K11" s="4" t="s">
        <v>18</v>
      </c>
      <c r="L11" s="4">
        <v>0</v>
      </c>
      <c r="M11" s="111"/>
      <c r="N11" s="89">
        <f>Tabela13[[#This Row],[Št. vzdrž. pregledov/letno]]*Tabela13[[#This Row],[Cena/pregled (požar)]]</f>
        <v>0</v>
      </c>
      <c r="O11" s="8">
        <v>4</v>
      </c>
      <c r="P11" s="8" t="s">
        <v>18</v>
      </c>
      <c r="Q11" s="8">
        <v>1</v>
      </c>
      <c r="R11" s="52" t="s">
        <v>78</v>
      </c>
      <c r="S11" s="8" t="s">
        <v>48</v>
      </c>
      <c r="T11" s="52" t="s">
        <v>18</v>
      </c>
      <c r="U11" s="111"/>
      <c r="V11" s="9" t="s">
        <v>18</v>
      </c>
      <c r="W11" s="9" t="s">
        <v>18</v>
      </c>
      <c r="X11" s="9" t="s">
        <v>18</v>
      </c>
      <c r="Y11" s="9" t="s">
        <v>18</v>
      </c>
      <c r="Z11" s="9" t="s">
        <v>18</v>
      </c>
      <c r="AA11" s="111"/>
      <c r="AB11" s="96">
        <f>Tabela13[[#This Row],[Cena/pregled (vlom)]]+Tabela13[[#This Row],[cena/pregled (video)]]</f>
        <v>0</v>
      </c>
      <c r="AC11" s="53" t="s">
        <v>56</v>
      </c>
      <c r="AD11" s="54" t="s">
        <v>10</v>
      </c>
    </row>
    <row r="12" spans="1:30" ht="43.2" x14ac:dyDescent="0.3">
      <c r="A12" s="29">
        <v>9</v>
      </c>
      <c r="B12" s="26" t="s">
        <v>102</v>
      </c>
      <c r="C12" s="29" t="s">
        <v>115</v>
      </c>
      <c r="D12" s="29">
        <v>2.4</v>
      </c>
      <c r="E12" s="4">
        <v>134</v>
      </c>
      <c r="F12" s="4">
        <v>13</v>
      </c>
      <c r="G12" s="4">
        <v>12</v>
      </c>
      <c r="H12" s="4">
        <v>17</v>
      </c>
      <c r="I12" s="4">
        <v>106</v>
      </c>
      <c r="J12" s="4" t="s">
        <v>18</v>
      </c>
      <c r="K12" s="6" t="s">
        <v>75</v>
      </c>
      <c r="L12" s="4">
        <v>4</v>
      </c>
      <c r="M12" s="111"/>
      <c r="N12" s="89">
        <f>Tabela13[[#This Row],[Št. vzdrž. pregledov/letno]]*Tabela13[[#This Row],[Cena/pregled (požar)]]</f>
        <v>0</v>
      </c>
      <c r="O12" s="8">
        <v>14</v>
      </c>
      <c r="P12" s="8">
        <v>1</v>
      </c>
      <c r="Q12" s="8">
        <v>3</v>
      </c>
      <c r="R12" s="52" t="s">
        <v>103</v>
      </c>
      <c r="S12" s="8" t="s">
        <v>48</v>
      </c>
      <c r="T12" s="52" t="s">
        <v>18</v>
      </c>
      <c r="U12" s="111"/>
      <c r="V12" s="9">
        <v>1</v>
      </c>
      <c r="W12" s="9">
        <v>16</v>
      </c>
      <c r="X12" s="9" t="s">
        <v>18</v>
      </c>
      <c r="Y12" s="9">
        <v>10</v>
      </c>
      <c r="Z12" s="10" t="s">
        <v>76</v>
      </c>
      <c r="AA12" s="111"/>
      <c r="AB12" s="96">
        <f>Tabela13[[#This Row],[Cena/pregled (vlom)]]+Tabela13[[#This Row],[cena/pregled (video)]]</f>
        <v>0</v>
      </c>
      <c r="AC12" s="53" t="s">
        <v>8</v>
      </c>
      <c r="AD12" s="54" t="s">
        <v>9</v>
      </c>
    </row>
    <row r="13" spans="1:30" ht="28.8" x14ac:dyDescent="0.3">
      <c r="A13" s="29">
        <v>10</v>
      </c>
      <c r="B13" s="26" t="s">
        <v>26</v>
      </c>
      <c r="C13" s="29" t="s">
        <v>114</v>
      </c>
      <c r="D13" s="29">
        <v>4</v>
      </c>
      <c r="E13" s="4" t="s">
        <v>18</v>
      </c>
      <c r="F13" s="4" t="s">
        <v>18</v>
      </c>
      <c r="G13" s="4" t="s">
        <v>18</v>
      </c>
      <c r="H13" s="4" t="s">
        <v>18</v>
      </c>
      <c r="I13" s="4" t="s">
        <v>18</v>
      </c>
      <c r="J13" s="4" t="s">
        <v>18</v>
      </c>
      <c r="K13" s="4" t="s">
        <v>18</v>
      </c>
      <c r="L13" s="4">
        <v>0</v>
      </c>
      <c r="M13" s="111"/>
      <c r="N13" s="89">
        <f>Tabela13[[#This Row],[Št. vzdrž. pregledov/letno]]*Tabela13[[#This Row],[Cena/pregled (požar)]]</f>
        <v>0</v>
      </c>
      <c r="O13" s="8">
        <v>4</v>
      </c>
      <c r="P13" s="8" t="s">
        <v>18</v>
      </c>
      <c r="Q13" s="8">
        <v>2</v>
      </c>
      <c r="R13" s="52" t="s">
        <v>63</v>
      </c>
      <c r="S13" s="8" t="s">
        <v>48</v>
      </c>
      <c r="T13" s="52" t="s">
        <v>18</v>
      </c>
      <c r="U13" s="111"/>
      <c r="V13" s="9" t="s">
        <v>18</v>
      </c>
      <c r="W13" s="9" t="s">
        <v>18</v>
      </c>
      <c r="X13" s="9" t="s">
        <v>18</v>
      </c>
      <c r="Y13" s="9" t="s">
        <v>18</v>
      </c>
      <c r="Z13" s="9" t="s">
        <v>18</v>
      </c>
      <c r="AA13" s="111"/>
      <c r="AB13" s="96">
        <f>Tabela13[[#This Row],[Cena/pregled (vlom)]]+Tabela13[[#This Row],[cena/pregled (video)]]</f>
        <v>0</v>
      </c>
      <c r="AC13" s="53" t="s">
        <v>56</v>
      </c>
      <c r="AD13" s="54" t="s">
        <v>10</v>
      </c>
    </row>
    <row r="14" spans="1:30" ht="28.8" x14ac:dyDescent="0.3">
      <c r="A14" s="29">
        <v>11</v>
      </c>
      <c r="B14" s="26" t="s">
        <v>27</v>
      </c>
      <c r="C14" s="29" t="s">
        <v>114</v>
      </c>
      <c r="D14" s="29">
        <v>4</v>
      </c>
      <c r="E14" s="4" t="s">
        <v>18</v>
      </c>
      <c r="F14" s="4" t="s">
        <v>18</v>
      </c>
      <c r="G14" s="4" t="s">
        <v>18</v>
      </c>
      <c r="H14" s="4" t="s">
        <v>18</v>
      </c>
      <c r="I14" s="4" t="s">
        <v>18</v>
      </c>
      <c r="J14" s="4" t="s">
        <v>18</v>
      </c>
      <c r="K14" s="4" t="s">
        <v>18</v>
      </c>
      <c r="L14" s="4">
        <v>0</v>
      </c>
      <c r="M14" s="111"/>
      <c r="N14" s="89">
        <f>Tabela13[[#This Row],[Št. vzdrž. pregledov/letno]]*Tabela13[[#This Row],[Cena/pregled (požar)]]</f>
        <v>0</v>
      </c>
      <c r="O14" s="8">
        <v>3</v>
      </c>
      <c r="P14" s="8" t="s">
        <v>18</v>
      </c>
      <c r="Q14" s="8">
        <v>1</v>
      </c>
      <c r="R14" s="52" t="s">
        <v>63</v>
      </c>
      <c r="S14" s="8" t="s">
        <v>48</v>
      </c>
      <c r="T14" s="52" t="s">
        <v>18</v>
      </c>
      <c r="U14" s="111"/>
      <c r="V14" s="9" t="s">
        <v>18</v>
      </c>
      <c r="W14" s="9" t="s">
        <v>18</v>
      </c>
      <c r="X14" s="9" t="s">
        <v>18</v>
      </c>
      <c r="Y14" s="9" t="s">
        <v>18</v>
      </c>
      <c r="Z14" s="9" t="s">
        <v>18</v>
      </c>
      <c r="AA14" s="111"/>
      <c r="AB14" s="96">
        <f>Tabela13[[#This Row],[Cena/pregled (vlom)]]+Tabela13[[#This Row],[cena/pregled (video)]]</f>
        <v>0</v>
      </c>
      <c r="AC14" s="53" t="s">
        <v>56</v>
      </c>
      <c r="AD14" s="54" t="s">
        <v>10</v>
      </c>
    </row>
    <row r="15" spans="1:30" ht="28.8" x14ac:dyDescent="0.3">
      <c r="A15" s="29">
        <v>12</v>
      </c>
      <c r="B15" s="26" t="s">
        <v>28</v>
      </c>
      <c r="C15" s="29" t="s">
        <v>114</v>
      </c>
      <c r="D15" s="29">
        <v>4</v>
      </c>
      <c r="E15" s="4" t="s">
        <v>18</v>
      </c>
      <c r="F15" s="4" t="s">
        <v>18</v>
      </c>
      <c r="G15" s="4" t="s">
        <v>18</v>
      </c>
      <c r="H15" s="4" t="s">
        <v>18</v>
      </c>
      <c r="I15" s="4" t="s">
        <v>18</v>
      </c>
      <c r="J15" s="4" t="s">
        <v>18</v>
      </c>
      <c r="K15" s="4" t="s">
        <v>18</v>
      </c>
      <c r="L15" s="4">
        <v>0</v>
      </c>
      <c r="M15" s="111"/>
      <c r="N15" s="89">
        <f>Tabela13[[#This Row],[Št. vzdrž. pregledov/letno]]*Tabela13[[#This Row],[Cena/pregled (požar)]]</f>
        <v>0</v>
      </c>
      <c r="O15" s="8">
        <v>2</v>
      </c>
      <c r="P15" s="8" t="s">
        <v>18</v>
      </c>
      <c r="Q15" s="8">
        <v>1</v>
      </c>
      <c r="R15" s="52" t="s">
        <v>63</v>
      </c>
      <c r="S15" s="8" t="s">
        <v>48</v>
      </c>
      <c r="T15" s="52" t="s">
        <v>18</v>
      </c>
      <c r="U15" s="111"/>
      <c r="V15" s="9" t="s">
        <v>18</v>
      </c>
      <c r="W15" s="9" t="s">
        <v>18</v>
      </c>
      <c r="X15" s="9" t="s">
        <v>18</v>
      </c>
      <c r="Y15" s="9" t="s">
        <v>18</v>
      </c>
      <c r="Z15" s="9" t="s">
        <v>18</v>
      </c>
      <c r="AA15" s="111"/>
      <c r="AB15" s="96">
        <f>Tabela13[[#This Row],[Cena/pregled (vlom)]]+Tabela13[[#This Row],[cena/pregled (video)]]</f>
        <v>0</v>
      </c>
      <c r="AC15" s="53" t="s">
        <v>56</v>
      </c>
      <c r="AD15" s="54" t="s">
        <v>10</v>
      </c>
    </row>
    <row r="16" spans="1:30" x14ac:dyDescent="0.3">
      <c r="A16" s="29">
        <v>13</v>
      </c>
      <c r="B16" s="26" t="s">
        <v>99</v>
      </c>
      <c r="C16" s="29" t="s">
        <v>114</v>
      </c>
      <c r="D16" s="29">
        <v>4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  <c r="J16" s="4" t="s">
        <v>18</v>
      </c>
      <c r="K16" s="4" t="s">
        <v>18</v>
      </c>
      <c r="L16" s="4">
        <v>0</v>
      </c>
      <c r="M16" s="111"/>
      <c r="N16" s="89">
        <f>Tabela13[[#This Row],[Št. vzdrž. pregledov/letno]]*Tabela13[[#This Row],[Cena/pregled (požar)]]</f>
        <v>0</v>
      </c>
      <c r="O16" s="8">
        <v>2</v>
      </c>
      <c r="P16" s="8" t="s">
        <v>18</v>
      </c>
      <c r="Q16" s="8">
        <v>1</v>
      </c>
      <c r="R16" s="52" t="s">
        <v>63</v>
      </c>
      <c r="S16" s="8" t="s">
        <v>48</v>
      </c>
      <c r="T16" s="52" t="s">
        <v>18</v>
      </c>
      <c r="U16" s="111"/>
      <c r="V16" s="9" t="s">
        <v>18</v>
      </c>
      <c r="W16" s="9" t="s">
        <v>18</v>
      </c>
      <c r="X16" s="9" t="s">
        <v>18</v>
      </c>
      <c r="Y16" s="9" t="s">
        <v>18</v>
      </c>
      <c r="Z16" s="9" t="s">
        <v>18</v>
      </c>
      <c r="AA16" s="111"/>
      <c r="AB16" s="96">
        <f>Tabela13[[#This Row],[Cena/pregled (vlom)]]+Tabela13[[#This Row],[cena/pregled (video)]]</f>
        <v>0</v>
      </c>
      <c r="AC16" s="53" t="s">
        <v>56</v>
      </c>
      <c r="AD16" s="54" t="s">
        <v>10</v>
      </c>
    </row>
    <row r="17" spans="1:30" ht="28.8" x14ac:dyDescent="0.3">
      <c r="A17" s="29">
        <v>14</v>
      </c>
      <c r="B17" s="26" t="s">
        <v>19</v>
      </c>
      <c r="C17" s="29" t="s">
        <v>112</v>
      </c>
      <c r="D17" s="29">
        <v>2.4</v>
      </c>
      <c r="E17" s="4">
        <v>54</v>
      </c>
      <c r="F17" s="4">
        <v>3</v>
      </c>
      <c r="G17" s="4">
        <v>3</v>
      </c>
      <c r="H17" s="4">
        <v>7</v>
      </c>
      <c r="I17" s="4">
        <v>47</v>
      </c>
      <c r="J17" s="4" t="s">
        <v>18</v>
      </c>
      <c r="K17" s="6" t="s">
        <v>68</v>
      </c>
      <c r="L17" s="4">
        <v>4</v>
      </c>
      <c r="M17" s="111"/>
      <c r="N17" s="89">
        <f>Tabela13[[#This Row],[Št. vzdrž. pregledov/letno]]*Tabela13[[#This Row],[Cena/pregled (požar)]]</f>
        <v>0</v>
      </c>
      <c r="O17" s="8">
        <v>7</v>
      </c>
      <c r="P17" s="8">
        <v>3</v>
      </c>
      <c r="Q17" s="8">
        <v>2</v>
      </c>
      <c r="R17" s="52" t="s">
        <v>49</v>
      </c>
      <c r="S17" s="8" t="s">
        <v>48</v>
      </c>
      <c r="T17" s="52" t="s">
        <v>18</v>
      </c>
      <c r="U17" s="111"/>
      <c r="V17" s="9">
        <v>1</v>
      </c>
      <c r="W17" s="9">
        <v>9</v>
      </c>
      <c r="X17" s="9">
        <v>5</v>
      </c>
      <c r="Y17" s="9">
        <v>4</v>
      </c>
      <c r="Z17" s="9" t="s">
        <v>45</v>
      </c>
      <c r="AA17" s="111"/>
      <c r="AB17" s="96">
        <f>Tabela13[[#This Row],[Cena/pregled (vlom)]]+Tabela13[[#This Row],[cena/pregled (video)]]</f>
        <v>0</v>
      </c>
      <c r="AC17" s="53" t="s">
        <v>69</v>
      </c>
      <c r="AD17" s="54" t="s">
        <v>5</v>
      </c>
    </row>
    <row r="18" spans="1:30" x14ac:dyDescent="0.3">
      <c r="A18" s="29">
        <v>15</v>
      </c>
      <c r="B18" s="26" t="s">
        <v>30</v>
      </c>
      <c r="C18" s="29" t="s">
        <v>116</v>
      </c>
      <c r="D18" s="29">
        <v>4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  <c r="J18" s="4" t="s">
        <v>18</v>
      </c>
      <c r="K18" s="4" t="s">
        <v>18</v>
      </c>
      <c r="L18" s="4">
        <v>0</v>
      </c>
      <c r="M18" s="111"/>
      <c r="N18" s="89">
        <f>Tabela13[[#This Row],[Št. vzdrž. pregledov/letno]]*Tabela13[[#This Row],[Cena/pregled (požar)]]</f>
        <v>0</v>
      </c>
      <c r="O18" s="8">
        <v>14</v>
      </c>
      <c r="P18" s="8">
        <v>1</v>
      </c>
      <c r="Q18" s="8">
        <v>3</v>
      </c>
      <c r="R18" s="52" t="s">
        <v>67</v>
      </c>
      <c r="S18" s="8" t="s">
        <v>1</v>
      </c>
      <c r="T18" s="52" t="s">
        <v>18</v>
      </c>
      <c r="U18" s="111"/>
      <c r="V18" s="9">
        <v>1</v>
      </c>
      <c r="W18" s="9">
        <v>16</v>
      </c>
      <c r="X18" s="9">
        <v>9</v>
      </c>
      <c r="Y18" s="9">
        <v>7</v>
      </c>
      <c r="Z18" s="9" t="s">
        <v>45</v>
      </c>
      <c r="AA18" s="111"/>
      <c r="AB18" s="96">
        <f>Tabela13[[#This Row],[Cena/pregled (vlom)]]+Tabela13[[#This Row],[cena/pregled (video)]]</f>
        <v>0</v>
      </c>
      <c r="AC18" s="53" t="s">
        <v>13</v>
      </c>
      <c r="AD18" s="54" t="s">
        <v>14</v>
      </c>
    </row>
    <row r="19" spans="1:30" ht="28.8" x14ac:dyDescent="0.3">
      <c r="A19" s="29">
        <v>16</v>
      </c>
      <c r="B19" s="26" t="s">
        <v>25</v>
      </c>
      <c r="C19" s="29" t="s">
        <v>114</v>
      </c>
      <c r="D19" s="29">
        <v>2.4</v>
      </c>
      <c r="E19" s="4">
        <v>42</v>
      </c>
      <c r="F19" s="4">
        <v>4</v>
      </c>
      <c r="G19" s="4">
        <v>2</v>
      </c>
      <c r="H19" s="4">
        <v>9</v>
      </c>
      <c r="I19" s="4">
        <v>33</v>
      </c>
      <c r="J19" s="4" t="s">
        <v>18</v>
      </c>
      <c r="K19" s="6" t="s">
        <v>72</v>
      </c>
      <c r="L19" s="4">
        <v>4</v>
      </c>
      <c r="M19" s="111"/>
      <c r="N19" s="89">
        <f>Tabela13[[#This Row],[Št. vzdrž. pregledov/letno]]*Tabela13[[#This Row],[Cena/pregled (požar)]]</f>
        <v>0</v>
      </c>
      <c r="O19" s="8">
        <v>17</v>
      </c>
      <c r="P19" s="8">
        <v>2</v>
      </c>
      <c r="Q19" s="8">
        <v>5</v>
      </c>
      <c r="R19" s="52" t="s">
        <v>52</v>
      </c>
      <c r="S19" s="8" t="s">
        <v>48</v>
      </c>
      <c r="T19" s="52" t="s">
        <v>18</v>
      </c>
      <c r="U19" s="111"/>
      <c r="V19" s="9" t="s">
        <v>18</v>
      </c>
      <c r="W19" s="9" t="s">
        <v>18</v>
      </c>
      <c r="X19" s="9" t="s">
        <v>18</v>
      </c>
      <c r="Y19" s="9" t="s">
        <v>18</v>
      </c>
      <c r="Z19" s="9" t="s">
        <v>18</v>
      </c>
      <c r="AA19" s="111"/>
      <c r="AB19" s="96">
        <f>Tabela13[[#This Row],[Cena/pregled (vlom)]]+Tabela13[[#This Row],[cena/pregled (video)]]</f>
        <v>0</v>
      </c>
      <c r="AC19" s="53" t="s">
        <v>56</v>
      </c>
      <c r="AD19" s="54" t="s">
        <v>10</v>
      </c>
    </row>
    <row r="20" spans="1:30" ht="28.8" x14ac:dyDescent="0.3">
      <c r="A20" s="29">
        <v>17</v>
      </c>
      <c r="B20" s="26" t="s">
        <v>87</v>
      </c>
      <c r="C20" s="29" t="s">
        <v>117</v>
      </c>
      <c r="D20" s="29">
        <v>4</v>
      </c>
      <c r="E20" s="4" t="s">
        <v>18</v>
      </c>
      <c r="F20" s="4" t="s">
        <v>18</v>
      </c>
      <c r="G20" s="4" t="s">
        <v>18</v>
      </c>
      <c r="H20" s="4" t="s">
        <v>18</v>
      </c>
      <c r="I20" s="4" t="s">
        <v>18</v>
      </c>
      <c r="J20" s="4" t="s">
        <v>18</v>
      </c>
      <c r="K20" s="4" t="s">
        <v>18</v>
      </c>
      <c r="L20" s="4">
        <v>0</v>
      </c>
      <c r="M20" s="111"/>
      <c r="N20" s="89">
        <f>Tabela13[[#This Row],[Št. vzdrž. pregledov/letno]]*Tabela13[[#This Row],[Cena/pregled (požar)]]</f>
        <v>0</v>
      </c>
      <c r="O20" s="8">
        <v>9</v>
      </c>
      <c r="P20" s="8">
        <v>1</v>
      </c>
      <c r="Q20" s="8">
        <v>1</v>
      </c>
      <c r="R20" s="52" t="s">
        <v>85</v>
      </c>
      <c r="S20" s="8" t="s">
        <v>48</v>
      </c>
      <c r="T20" s="52" t="s">
        <v>18</v>
      </c>
      <c r="U20" s="111"/>
      <c r="V20" s="9">
        <v>1</v>
      </c>
      <c r="W20" s="9">
        <v>16</v>
      </c>
      <c r="X20" s="9">
        <v>12</v>
      </c>
      <c r="Y20" s="9">
        <v>3</v>
      </c>
      <c r="Z20" s="9" t="s">
        <v>45</v>
      </c>
      <c r="AA20" s="111"/>
      <c r="AB20" s="96">
        <f>Tabela13[[#This Row],[Cena/pregled (vlom)]]+Tabela13[[#This Row],[cena/pregled (video)]]</f>
        <v>0</v>
      </c>
      <c r="AC20" s="53" t="s">
        <v>80</v>
      </c>
      <c r="AD20" s="54" t="s">
        <v>12</v>
      </c>
    </row>
    <row r="21" spans="1:30" ht="28.8" x14ac:dyDescent="0.3">
      <c r="A21" s="29">
        <v>18</v>
      </c>
      <c r="B21" s="26" t="s">
        <v>86</v>
      </c>
      <c r="C21" s="29" t="s">
        <v>117</v>
      </c>
      <c r="D21" s="29">
        <v>4</v>
      </c>
      <c r="E21" s="4" t="s">
        <v>18</v>
      </c>
      <c r="F21" s="4" t="s">
        <v>18</v>
      </c>
      <c r="G21" s="4" t="s">
        <v>18</v>
      </c>
      <c r="H21" s="4" t="s">
        <v>18</v>
      </c>
      <c r="I21" s="4" t="s">
        <v>18</v>
      </c>
      <c r="J21" s="4" t="s">
        <v>18</v>
      </c>
      <c r="K21" s="4" t="s">
        <v>18</v>
      </c>
      <c r="L21" s="4">
        <v>0</v>
      </c>
      <c r="M21" s="111"/>
      <c r="N21" s="89">
        <f>Tabela13[[#This Row],[Št. vzdrž. pregledov/letno]]*Tabela13[[#This Row],[Cena/pregled (požar)]]</f>
        <v>0</v>
      </c>
      <c r="O21" s="8">
        <v>8</v>
      </c>
      <c r="P21" s="8">
        <v>1</v>
      </c>
      <c r="Q21" s="8">
        <v>2</v>
      </c>
      <c r="R21" s="52" t="s">
        <v>79</v>
      </c>
      <c r="S21" s="8" t="s">
        <v>48</v>
      </c>
      <c r="T21" s="52" t="s">
        <v>18</v>
      </c>
      <c r="U21" s="111"/>
      <c r="V21" s="9">
        <v>1</v>
      </c>
      <c r="W21" s="9">
        <v>4</v>
      </c>
      <c r="X21" s="9">
        <v>2</v>
      </c>
      <c r="Y21" s="9">
        <v>2</v>
      </c>
      <c r="Z21" s="9" t="s">
        <v>45</v>
      </c>
      <c r="AA21" s="111"/>
      <c r="AB21" s="96">
        <f>Tabela13[[#This Row],[Cena/pregled (vlom)]]+Tabela13[[#This Row],[cena/pregled (video)]]</f>
        <v>0</v>
      </c>
      <c r="AC21" s="53" t="s">
        <v>80</v>
      </c>
      <c r="AD21" s="54" t="s">
        <v>12</v>
      </c>
    </row>
    <row r="22" spans="1:30" x14ac:dyDescent="0.3">
      <c r="A22" s="29">
        <v>19</v>
      </c>
      <c r="B22" s="26" t="s">
        <v>29</v>
      </c>
      <c r="C22" s="29" t="s">
        <v>118</v>
      </c>
      <c r="D22" s="29">
        <v>2.4</v>
      </c>
      <c r="E22" s="4"/>
      <c r="F22" s="4"/>
      <c r="G22" s="4"/>
      <c r="H22" s="4"/>
      <c r="I22" s="4"/>
      <c r="J22" s="4"/>
      <c r="K22" s="4" t="s">
        <v>65</v>
      </c>
      <c r="L22" s="4">
        <v>4</v>
      </c>
      <c r="M22" s="111"/>
      <c r="N22" s="89">
        <f>Tabela13[[#This Row],[Št. vzdrž. pregledov/letno]]*Tabela13[[#This Row],[Cena/pregled (požar)]]</f>
        <v>0</v>
      </c>
      <c r="O22" s="8">
        <v>11</v>
      </c>
      <c r="P22" s="8">
        <v>1</v>
      </c>
      <c r="Q22" s="8">
        <v>2</v>
      </c>
      <c r="R22" s="52" t="s">
        <v>52</v>
      </c>
      <c r="S22" s="52" t="s">
        <v>64</v>
      </c>
      <c r="T22" s="52" t="s">
        <v>73</v>
      </c>
      <c r="U22" s="111"/>
      <c r="V22" s="9">
        <v>1</v>
      </c>
      <c r="W22" s="9">
        <v>32</v>
      </c>
      <c r="X22" s="9">
        <v>4</v>
      </c>
      <c r="Y22" s="9">
        <v>19</v>
      </c>
      <c r="Z22" s="9" t="s">
        <v>66</v>
      </c>
      <c r="AA22" s="111"/>
      <c r="AB22" s="96">
        <f>Tabela13[[#This Row],[Cena/pregled (vlom)]]+Tabela13[[#This Row],[cena/pregled (video)]]</f>
        <v>0</v>
      </c>
      <c r="AC22" s="53" t="s">
        <v>3</v>
      </c>
      <c r="AD22" s="54" t="s">
        <v>4</v>
      </c>
    </row>
    <row r="23" spans="1:30" ht="28.8" x14ac:dyDescent="0.3">
      <c r="A23" s="29">
        <v>20</v>
      </c>
      <c r="B23" s="26" t="s">
        <v>31</v>
      </c>
      <c r="C23" s="29" t="s">
        <v>119</v>
      </c>
      <c r="D23" s="29">
        <v>2.4</v>
      </c>
      <c r="E23" s="4"/>
      <c r="F23" s="4"/>
      <c r="G23" s="4"/>
      <c r="H23" s="4"/>
      <c r="I23" s="4"/>
      <c r="J23" s="6" t="s">
        <v>54</v>
      </c>
      <c r="K23" s="6" t="s">
        <v>53</v>
      </c>
      <c r="L23" s="4">
        <v>4</v>
      </c>
      <c r="M23" s="111"/>
      <c r="N23" s="89">
        <f>Tabela13[[#This Row],[Št. vzdrž. pregledov/letno]]*Tabela13[[#This Row],[Cena/pregled (požar)]]</f>
        <v>0</v>
      </c>
      <c r="O23" s="8">
        <v>26</v>
      </c>
      <c r="P23" s="8">
        <v>4</v>
      </c>
      <c r="Q23" s="8">
        <v>2</v>
      </c>
      <c r="R23" s="52" t="s">
        <v>52</v>
      </c>
      <c r="S23" s="8" t="s">
        <v>48</v>
      </c>
      <c r="T23" s="52" t="s">
        <v>18</v>
      </c>
      <c r="U23" s="111"/>
      <c r="V23" s="9">
        <v>2</v>
      </c>
      <c r="W23" s="9">
        <v>16</v>
      </c>
      <c r="X23" s="9">
        <v>10</v>
      </c>
      <c r="Y23" s="9">
        <v>13</v>
      </c>
      <c r="Z23" s="9" t="s">
        <v>66</v>
      </c>
      <c r="AA23" s="111"/>
      <c r="AB23" s="96">
        <f>Tabela13[[#This Row],[Cena/pregled (vlom)]]+Tabela13[[#This Row],[cena/pregled (video)]]</f>
        <v>0</v>
      </c>
      <c r="AC23" s="53"/>
      <c r="AD23" s="54"/>
    </row>
    <row r="24" spans="1:30" ht="28.8" x14ac:dyDescent="0.3">
      <c r="A24" s="29">
        <v>21</v>
      </c>
      <c r="B24" s="26" t="s">
        <v>33</v>
      </c>
      <c r="C24" s="29" t="s">
        <v>120</v>
      </c>
      <c r="D24" s="29">
        <v>4</v>
      </c>
      <c r="E24" s="4" t="s">
        <v>18</v>
      </c>
      <c r="F24" s="4" t="s">
        <v>18</v>
      </c>
      <c r="G24" s="4" t="s">
        <v>18</v>
      </c>
      <c r="H24" s="4" t="s">
        <v>18</v>
      </c>
      <c r="I24" s="4" t="s">
        <v>18</v>
      </c>
      <c r="J24" s="4" t="s">
        <v>18</v>
      </c>
      <c r="K24" s="4" t="s">
        <v>18</v>
      </c>
      <c r="L24" s="4">
        <v>0</v>
      </c>
      <c r="M24" s="111"/>
      <c r="N24" s="89">
        <f>Tabela13[[#This Row],[Št. vzdrž. pregledov/letno]]*Tabela13[[#This Row],[Cena/pregled (požar)]]</f>
        <v>0</v>
      </c>
      <c r="O24" s="8">
        <v>10</v>
      </c>
      <c r="P24" s="8">
        <v>1</v>
      </c>
      <c r="Q24" s="8">
        <v>1</v>
      </c>
      <c r="R24" s="52" t="s">
        <v>50</v>
      </c>
      <c r="S24" s="52" t="s">
        <v>64</v>
      </c>
      <c r="T24" s="52"/>
      <c r="U24" s="111"/>
      <c r="V24" s="9">
        <v>1</v>
      </c>
      <c r="W24" s="9">
        <v>8</v>
      </c>
      <c r="X24" s="9">
        <v>3</v>
      </c>
      <c r="Y24" s="9">
        <v>1</v>
      </c>
      <c r="Z24" s="9" t="s">
        <v>45</v>
      </c>
      <c r="AA24" s="111"/>
      <c r="AB24" s="96">
        <f>Tabela13[[#This Row],[Cena/pregled (vlom)]]+Tabela13[[#This Row],[cena/pregled (video)]]</f>
        <v>0</v>
      </c>
      <c r="AC24" s="53" t="s">
        <v>8</v>
      </c>
      <c r="AD24" s="54" t="s">
        <v>51</v>
      </c>
    </row>
    <row r="25" spans="1:30" x14ac:dyDescent="0.3">
      <c r="A25" s="29">
        <v>22</v>
      </c>
      <c r="B25" s="26" t="s">
        <v>34</v>
      </c>
      <c r="C25" s="29" t="s">
        <v>120</v>
      </c>
      <c r="D25" s="29">
        <v>4</v>
      </c>
      <c r="E25" s="4" t="s">
        <v>18</v>
      </c>
      <c r="F25" s="4" t="s">
        <v>18</v>
      </c>
      <c r="G25" s="4" t="s">
        <v>18</v>
      </c>
      <c r="H25" s="4" t="s">
        <v>18</v>
      </c>
      <c r="I25" s="4" t="s">
        <v>18</v>
      </c>
      <c r="J25" s="4" t="s">
        <v>18</v>
      </c>
      <c r="K25" s="4" t="s">
        <v>18</v>
      </c>
      <c r="L25" s="4">
        <v>0</v>
      </c>
      <c r="M25" s="111"/>
      <c r="N25" s="89">
        <f>Tabela13[[#This Row],[Št. vzdrž. pregledov/letno]]*Tabela13[[#This Row],[Cena/pregled (požar)]]</f>
        <v>0</v>
      </c>
      <c r="O25" s="8">
        <v>3</v>
      </c>
      <c r="P25" s="8">
        <v>1</v>
      </c>
      <c r="Q25" s="8">
        <v>1</v>
      </c>
      <c r="R25" s="52" t="s">
        <v>18</v>
      </c>
      <c r="S25" s="8" t="s">
        <v>18</v>
      </c>
      <c r="T25" s="52" t="s">
        <v>18</v>
      </c>
      <c r="U25" s="111"/>
      <c r="V25" s="9" t="s">
        <v>18</v>
      </c>
      <c r="W25" s="9" t="s">
        <v>18</v>
      </c>
      <c r="X25" s="9" t="s">
        <v>18</v>
      </c>
      <c r="Y25" s="9" t="s">
        <v>18</v>
      </c>
      <c r="Z25" s="9" t="s">
        <v>18</v>
      </c>
      <c r="AA25" s="111"/>
      <c r="AB25" s="96">
        <f>Tabela13[[#This Row],[Cena/pregled (vlom)]]+Tabela13[[#This Row],[cena/pregled (video)]]</f>
        <v>0</v>
      </c>
      <c r="AC25" s="53"/>
      <c r="AD25" s="54"/>
    </row>
    <row r="26" spans="1:30" ht="28.8" x14ac:dyDescent="0.3">
      <c r="A26" s="29">
        <v>23</v>
      </c>
      <c r="B26" s="26" t="s">
        <v>35</v>
      </c>
      <c r="C26" s="29" t="s">
        <v>121</v>
      </c>
      <c r="D26" s="29">
        <v>4</v>
      </c>
      <c r="E26" s="4" t="s">
        <v>18</v>
      </c>
      <c r="F26" s="4" t="s">
        <v>18</v>
      </c>
      <c r="G26" s="4" t="s">
        <v>18</v>
      </c>
      <c r="H26" s="4" t="s">
        <v>18</v>
      </c>
      <c r="I26" s="4" t="s">
        <v>18</v>
      </c>
      <c r="J26" s="4" t="s">
        <v>18</v>
      </c>
      <c r="K26" s="4" t="s">
        <v>18</v>
      </c>
      <c r="L26" s="4">
        <v>0</v>
      </c>
      <c r="M26" s="111"/>
      <c r="N26" s="89">
        <f>Tabela13[[#This Row],[Št. vzdrž. pregledov/letno]]*Tabela13[[#This Row],[Cena/pregled (požar)]]</f>
        <v>0</v>
      </c>
      <c r="O26" s="8">
        <v>4</v>
      </c>
      <c r="P26" s="8" t="s">
        <v>18</v>
      </c>
      <c r="Q26" s="8">
        <v>1</v>
      </c>
      <c r="R26" s="52" t="s">
        <v>67</v>
      </c>
      <c r="S26" s="8" t="s">
        <v>48</v>
      </c>
      <c r="T26" s="52" t="s">
        <v>18</v>
      </c>
      <c r="U26" s="111"/>
      <c r="V26" s="9">
        <v>1</v>
      </c>
      <c r="W26" s="9">
        <v>16</v>
      </c>
      <c r="X26" s="9">
        <v>1</v>
      </c>
      <c r="Y26" s="9">
        <v>7</v>
      </c>
      <c r="Z26" s="9" t="s">
        <v>45</v>
      </c>
      <c r="AA26" s="111"/>
      <c r="AB26" s="96">
        <f>Tabela13[[#This Row],[Cena/pregled (vlom)]]+Tabela13[[#This Row],[cena/pregled (video)]]</f>
        <v>0</v>
      </c>
      <c r="AC26" s="53" t="s">
        <v>173</v>
      </c>
      <c r="AD26" s="54" t="s">
        <v>174</v>
      </c>
    </row>
    <row r="27" spans="1:30" ht="43.2" x14ac:dyDescent="0.3">
      <c r="A27" s="29">
        <v>24</v>
      </c>
      <c r="B27" s="26" t="s">
        <v>136</v>
      </c>
      <c r="C27" s="29" t="s">
        <v>122</v>
      </c>
      <c r="D27" s="29">
        <v>1.3</v>
      </c>
      <c r="E27" s="4">
        <v>258</v>
      </c>
      <c r="F27" s="4">
        <v>23</v>
      </c>
      <c r="G27" s="4">
        <v>18</v>
      </c>
      <c r="H27" s="4">
        <v>13</v>
      </c>
      <c r="I27" s="4">
        <v>213</v>
      </c>
      <c r="J27" s="4">
        <v>1</v>
      </c>
      <c r="K27" s="6" t="s">
        <v>88</v>
      </c>
      <c r="L27" s="4">
        <v>4</v>
      </c>
      <c r="M27" s="111"/>
      <c r="N27" s="89">
        <f>Tabela13[[#This Row],[Št. vzdrž. pregledov/letno]]*Tabela13[[#This Row],[Cena/pregled (požar)]]</f>
        <v>0</v>
      </c>
      <c r="O27" s="8">
        <v>17</v>
      </c>
      <c r="P27" s="8">
        <v>2</v>
      </c>
      <c r="Q27" s="8">
        <v>2</v>
      </c>
      <c r="R27" s="52" t="s">
        <v>104</v>
      </c>
      <c r="S27" s="8" t="s">
        <v>89</v>
      </c>
      <c r="T27" s="52" t="s">
        <v>18</v>
      </c>
      <c r="U27" s="111"/>
      <c r="V27" s="9">
        <v>1</v>
      </c>
      <c r="W27" s="9">
        <v>16</v>
      </c>
      <c r="X27" s="9">
        <v>2</v>
      </c>
      <c r="Y27" s="9">
        <v>7</v>
      </c>
      <c r="Z27" s="9" t="s">
        <v>90</v>
      </c>
      <c r="AA27" s="111"/>
      <c r="AB27" s="96">
        <f>Tabela13[[#This Row],[Cena/pregled (vlom)]]+Tabela13[[#This Row],[cena/pregled (video)]]</f>
        <v>0</v>
      </c>
      <c r="AC27" s="53" t="s">
        <v>80</v>
      </c>
      <c r="AD27" s="54" t="s">
        <v>12</v>
      </c>
    </row>
    <row r="28" spans="1:30" ht="28.8" x14ac:dyDescent="0.3">
      <c r="A28" s="29">
        <v>25</v>
      </c>
      <c r="B28" s="26" t="s">
        <v>37</v>
      </c>
      <c r="C28" s="29" t="s">
        <v>123</v>
      </c>
      <c r="D28" s="29">
        <v>4</v>
      </c>
      <c r="E28" s="4" t="s">
        <v>18</v>
      </c>
      <c r="F28" s="4" t="s">
        <v>18</v>
      </c>
      <c r="G28" s="4" t="s">
        <v>18</v>
      </c>
      <c r="H28" s="4" t="s">
        <v>18</v>
      </c>
      <c r="I28" s="4" t="s">
        <v>18</v>
      </c>
      <c r="J28" s="4" t="s">
        <v>18</v>
      </c>
      <c r="K28" s="4" t="s">
        <v>18</v>
      </c>
      <c r="L28" s="4">
        <v>0</v>
      </c>
      <c r="M28" s="111"/>
      <c r="N28" s="89">
        <f>Tabela13[[#This Row],[Št. vzdrž. pregledov/letno]]*Tabela13[[#This Row],[Cena/pregled (požar)]]</f>
        <v>0</v>
      </c>
      <c r="O28" s="8">
        <v>5</v>
      </c>
      <c r="P28" s="8" t="s">
        <v>18</v>
      </c>
      <c r="Q28" s="8">
        <v>1</v>
      </c>
      <c r="R28" s="52" t="s">
        <v>47</v>
      </c>
      <c r="S28" s="8" t="s">
        <v>48</v>
      </c>
      <c r="T28" s="52" t="s">
        <v>18</v>
      </c>
      <c r="U28" s="111"/>
      <c r="V28" s="9">
        <v>2</v>
      </c>
      <c r="W28" s="9">
        <v>8</v>
      </c>
      <c r="X28" s="9">
        <v>8</v>
      </c>
      <c r="Y28" s="9">
        <v>4</v>
      </c>
      <c r="Z28" s="9" t="s">
        <v>45</v>
      </c>
      <c r="AA28" s="111"/>
      <c r="AB28" s="96">
        <f>Tabela13[[#This Row],[Cena/pregled (vlom)]]+Tabela13[[#This Row],[cena/pregled (video)]]</f>
        <v>0</v>
      </c>
      <c r="AC28" s="53" t="s">
        <v>83</v>
      </c>
      <c r="AD28" s="54" t="s">
        <v>6</v>
      </c>
    </row>
    <row r="29" spans="1:30" ht="28.8" x14ac:dyDescent="0.3">
      <c r="A29" s="29">
        <v>26</v>
      </c>
      <c r="B29" s="26" t="s">
        <v>100</v>
      </c>
      <c r="C29" s="29" t="s">
        <v>123</v>
      </c>
      <c r="D29" s="29">
        <v>4</v>
      </c>
      <c r="E29" s="4" t="s">
        <v>18</v>
      </c>
      <c r="F29" s="4" t="s">
        <v>18</v>
      </c>
      <c r="G29" s="4" t="s">
        <v>18</v>
      </c>
      <c r="H29" s="4" t="s">
        <v>18</v>
      </c>
      <c r="I29" s="4" t="s">
        <v>18</v>
      </c>
      <c r="J29" s="4" t="s">
        <v>18</v>
      </c>
      <c r="K29" s="4" t="s">
        <v>18</v>
      </c>
      <c r="L29" s="4">
        <v>0</v>
      </c>
      <c r="M29" s="111"/>
      <c r="N29" s="89">
        <f>Tabela13[[#This Row],[Št. vzdrž. pregledov/letno]]*Tabela13[[#This Row],[Cena/pregled (požar)]]</f>
        <v>0</v>
      </c>
      <c r="O29" s="8">
        <v>2</v>
      </c>
      <c r="P29" s="8" t="s">
        <v>18</v>
      </c>
      <c r="Q29" s="8">
        <v>1</v>
      </c>
      <c r="R29" s="52" t="s">
        <v>101</v>
      </c>
      <c r="S29" s="8" t="s">
        <v>48</v>
      </c>
      <c r="T29" s="52" t="s">
        <v>18</v>
      </c>
      <c r="U29" s="111"/>
      <c r="V29" s="9">
        <v>1</v>
      </c>
      <c r="W29" s="9">
        <v>4</v>
      </c>
      <c r="X29" s="9">
        <v>1</v>
      </c>
      <c r="Y29" s="9">
        <v>1</v>
      </c>
      <c r="Z29" s="9" t="s">
        <v>45</v>
      </c>
      <c r="AA29" s="111"/>
      <c r="AB29" s="96">
        <f>Tabela13[[#This Row],[Cena/pregled (vlom)]]+Tabela13[[#This Row],[cena/pregled (video)]]</f>
        <v>0</v>
      </c>
      <c r="AC29" s="53" t="s">
        <v>83</v>
      </c>
      <c r="AD29" s="54" t="s">
        <v>6</v>
      </c>
    </row>
    <row r="30" spans="1:30" ht="28.8" x14ac:dyDescent="0.3">
      <c r="A30" s="29">
        <v>27</v>
      </c>
      <c r="B30" s="26" t="s">
        <v>38</v>
      </c>
      <c r="C30" s="29" t="s">
        <v>124</v>
      </c>
      <c r="D30" s="29">
        <v>4</v>
      </c>
      <c r="E30" s="4" t="s">
        <v>18</v>
      </c>
      <c r="F30" s="4" t="s">
        <v>18</v>
      </c>
      <c r="G30" s="4" t="s">
        <v>18</v>
      </c>
      <c r="H30" s="4" t="s">
        <v>18</v>
      </c>
      <c r="I30" s="4" t="s">
        <v>18</v>
      </c>
      <c r="J30" s="4" t="s">
        <v>18</v>
      </c>
      <c r="K30" s="4" t="s">
        <v>18</v>
      </c>
      <c r="L30" s="4">
        <v>0</v>
      </c>
      <c r="M30" s="111"/>
      <c r="N30" s="89">
        <f>Tabela13[[#This Row],[Št. vzdrž. pregledov/letno]]*Tabela13[[#This Row],[Cena/pregled (požar)]]</f>
        <v>0</v>
      </c>
      <c r="O30" s="8">
        <v>7</v>
      </c>
      <c r="P30" s="8" t="s">
        <v>18</v>
      </c>
      <c r="Q30" s="8">
        <v>1</v>
      </c>
      <c r="R30" s="52" t="s">
        <v>74</v>
      </c>
      <c r="S30" s="8" t="s">
        <v>48</v>
      </c>
      <c r="T30" s="52" t="s">
        <v>106</v>
      </c>
      <c r="U30" s="111"/>
      <c r="V30" s="9">
        <v>1</v>
      </c>
      <c r="W30" s="9">
        <v>8</v>
      </c>
      <c r="X30" s="9">
        <v>3</v>
      </c>
      <c r="Y30" s="9">
        <v>2</v>
      </c>
      <c r="Z30" s="9" t="s">
        <v>45</v>
      </c>
      <c r="AA30" s="111"/>
      <c r="AB30" s="96">
        <f>Tabela13[[#This Row],[Cena/pregled (vlom)]]+Tabela13[[#This Row],[cena/pregled (video)]]</f>
        <v>0</v>
      </c>
      <c r="AC30" s="53" t="s">
        <v>55</v>
      </c>
      <c r="AD30" s="54" t="s">
        <v>11</v>
      </c>
    </row>
    <row r="31" spans="1:30" ht="28.8" x14ac:dyDescent="0.3">
      <c r="A31" s="29">
        <v>28</v>
      </c>
      <c r="B31" s="13" t="s">
        <v>39</v>
      </c>
      <c r="C31" s="29" t="s">
        <v>124</v>
      </c>
      <c r="D31" s="29">
        <v>4</v>
      </c>
      <c r="E31" s="4" t="s">
        <v>18</v>
      </c>
      <c r="F31" s="4" t="s">
        <v>18</v>
      </c>
      <c r="G31" s="4" t="s">
        <v>18</v>
      </c>
      <c r="H31" s="4" t="s">
        <v>18</v>
      </c>
      <c r="I31" s="4" t="s">
        <v>18</v>
      </c>
      <c r="J31" s="4" t="s">
        <v>18</v>
      </c>
      <c r="K31" s="4" t="s">
        <v>18</v>
      </c>
      <c r="L31" s="4">
        <v>0</v>
      </c>
      <c r="M31" s="111"/>
      <c r="N31" s="89">
        <f>Tabela13[[#This Row],[Št. vzdrž. pregledov/letno]]*Tabela13[[#This Row],[Cena/pregled (požar)]]</f>
        <v>0</v>
      </c>
      <c r="O31" s="8">
        <v>17</v>
      </c>
      <c r="P31" s="8">
        <v>3</v>
      </c>
      <c r="Q31" s="8">
        <v>1</v>
      </c>
      <c r="R31" s="52" t="s">
        <v>47</v>
      </c>
      <c r="S31" s="8" t="s">
        <v>48</v>
      </c>
      <c r="T31" s="52" t="s">
        <v>106</v>
      </c>
      <c r="U31" s="111"/>
      <c r="V31" s="9"/>
      <c r="W31" s="9"/>
      <c r="X31" s="9"/>
      <c r="Y31" s="9"/>
      <c r="Z31" s="9"/>
      <c r="AA31" s="111"/>
      <c r="AB31" s="96">
        <f>Tabela13[[#This Row],[Cena/pregled (vlom)]]+Tabela13[[#This Row],[cena/pregled (video)]]</f>
        <v>0</v>
      </c>
      <c r="AC31" s="53" t="s">
        <v>55</v>
      </c>
      <c r="AD31" s="54" t="s">
        <v>11</v>
      </c>
    </row>
    <row r="32" spans="1:30" ht="28.8" x14ac:dyDescent="0.3">
      <c r="A32" s="29">
        <v>29</v>
      </c>
      <c r="B32" s="13" t="s">
        <v>40</v>
      </c>
      <c r="C32" s="29" t="s">
        <v>124</v>
      </c>
      <c r="D32" s="29">
        <v>4</v>
      </c>
      <c r="E32" s="4"/>
      <c r="F32" s="4"/>
      <c r="G32" s="4"/>
      <c r="H32" s="4"/>
      <c r="I32" s="4"/>
      <c r="J32" s="4"/>
      <c r="K32" s="4"/>
      <c r="L32" s="4">
        <v>0</v>
      </c>
      <c r="M32" s="111"/>
      <c r="N32" s="89">
        <f>Tabela13[[#This Row],[Št. vzdrž. pregledov/letno]]*Tabela13[[#This Row],[Cena/pregled (požar)]]</f>
        <v>0</v>
      </c>
      <c r="O32" s="8">
        <v>2</v>
      </c>
      <c r="P32" s="8">
        <v>1</v>
      </c>
      <c r="Q32" s="8"/>
      <c r="R32" s="52" t="s">
        <v>105</v>
      </c>
      <c r="S32" s="8" t="s">
        <v>48</v>
      </c>
      <c r="T32" s="52"/>
      <c r="U32" s="111"/>
      <c r="V32" s="9"/>
      <c r="W32" s="9"/>
      <c r="X32" s="9"/>
      <c r="Y32" s="9"/>
      <c r="Z32" s="9"/>
      <c r="AA32" s="111"/>
      <c r="AB32" s="96">
        <f>Tabela13[[#This Row],[Cena/pregled (vlom)]]+Tabela13[[#This Row],[cena/pregled (video)]]</f>
        <v>0</v>
      </c>
      <c r="AC32" s="53" t="s">
        <v>56</v>
      </c>
      <c r="AD32" s="54" t="s">
        <v>10</v>
      </c>
    </row>
    <row r="33" spans="1:30" ht="43.2" x14ac:dyDescent="0.3">
      <c r="A33" s="29">
        <v>30</v>
      </c>
      <c r="B33" s="26" t="s">
        <v>32</v>
      </c>
      <c r="C33" s="29" t="s">
        <v>125</v>
      </c>
      <c r="D33" s="29">
        <v>2.4</v>
      </c>
      <c r="E33" s="4">
        <v>38</v>
      </c>
      <c r="F33" s="4">
        <v>5</v>
      </c>
      <c r="G33" s="4">
        <v>3</v>
      </c>
      <c r="H33" s="4">
        <v>7</v>
      </c>
      <c r="I33" s="4">
        <v>31</v>
      </c>
      <c r="J33" s="4" t="s">
        <v>18</v>
      </c>
      <c r="K33" s="6" t="s">
        <v>84</v>
      </c>
      <c r="L33" s="4">
        <v>4</v>
      </c>
      <c r="M33" s="111"/>
      <c r="N33" s="89">
        <f>Tabela13[[#This Row],[Št. vzdrž. pregledov/letno]]*Tabela13[[#This Row],[Cena/pregled (požar)]]</f>
        <v>0</v>
      </c>
      <c r="O33" s="8">
        <v>17</v>
      </c>
      <c r="P33" s="8">
        <v>3</v>
      </c>
      <c r="Q33" s="8">
        <v>2</v>
      </c>
      <c r="R33" s="52" t="s">
        <v>79</v>
      </c>
      <c r="S33" s="8" t="s">
        <v>48</v>
      </c>
      <c r="T33" s="52" t="s">
        <v>18</v>
      </c>
      <c r="U33" s="111"/>
      <c r="V33" s="9">
        <v>1</v>
      </c>
      <c r="W33" s="9">
        <v>8</v>
      </c>
      <c r="X33" s="9">
        <v>6</v>
      </c>
      <c r="Y33" s="9">
        <v>1</v>
      </c>
      <c r="Z33" s="9" t="s">
        <v>45</v>
      </c>
      <c r="AA33" s="111"/>
      <c r="AB33" s="96">
        <f>Tabela13[[#This Row],[Cena/pregled (vlom)]]+Tabela13[[#This Row],[cena/pregled (video)]]</f>
        <v>0</v>
      </c>
      <c r="AC33" s="53" t="s">
        <v>3</v>
      </c>
      <c r="AD33" s="54" t="s">
        <v>4</v>
      </c>
    </row>
    <row r="34" spans="1:30" ht="28.8" x14ac:dyDescent="0.3">
      <c r="A34" s="29">
        <v>31</v>
      </c>
      <c r="B34" s="26" t="s">
        <v>36</v>
      </c>
      <c r="C34" s="29" t="s">
        <v>126</v>
      </c>
      <c r="D34" s="29">
        <v>2.4</v>
      </c>
      <c r="E34" s="4"/>
      <c r="F34" s="4"/>
      <c r="G34" s="4"/>
      <c r="H34" s="4"/>
      <c r="I34" s="4"/>
      <c r="J34" s="4"/>
      <c r="K34" s="4" t="s">
        <v>62</v>
      </c>
      <c r="L34" s="4">
        <v>4</v>
      </c>
      <c r="M34" s="111"/>
      <c r="N34" s="89">
        <f>Tabela13[[#This Row],[Št. vzdrž. pregledov/letno]]*Tabela13[[#This Row],[Cena/pregled (požar)]]</f>
        <v>0</v>
      </c>
      <c r="O34" s="8">
        <v>46</v>
      </c>
      <c r="P34" s="8"/>
      <c r="Q34" s="8"/>
      <c r="R34" s="52" t="s">
        <v>81</v>
      </c>
      <c r="S34" s="8"/>
      <c r="T34" s="52"/>
      <c r="U34" s="111"/>
      <c r="V34" s="9"/>
      <c r="W34" s="9"/>
      <c r="X34" s="9"/>
      <c r="Y34" s="9"/>
      <c r="Z34" s="9"/>
      <c r="AA34" s="111"/>
      <c r="AB34" s="96">
        <f>Tabela13[[#This Row],[Cena/pregled (vlom)]]+Tabela13[[#This Row],[cena/pregled (video)]]</f>
        <v>0</v>
      </c>
      <c r="AC34" s="53" t="s">
        <v>82</v>
      </c>
      <c r="AD34" s="54" t="s">
        <v>7</v>
      </c>
    </row>
    <row r="35" spans="1:30" x14ac:dyDescent="0.3">
      <c r="A35" s="29">
        <v>32</v>
      </c>
      <c r="B35" s="70" t="s">
        <v>41</v>
      </c>
      <c r="C35" s="29" t="s">
        <v>127</v>
      </c>
      <c r="D35" s="30">
        <v>4</v>
      </c>
      <c r="E35" s="16" t="s">
        <v>18</v>
      </c>
      <c r="F35" s="16" t="s">
        <v>18</v>
      </c>
      <c r="G35" s="16" t="s">
        <v>18</v>
      </c>
      <c r="H35" s="16" t="s">
        <v>18</v>
      </c>
      <c r="I35" s="16" t="s">
        <v>18</v>
      </c>
      <c r="J35" s="16" t="s">
        <v>18</v>
      </c>
      <c r="K35" s="16" t="s">
        <v>18</v>
      </c>
      <c r="L35" s="4">
        <v>0</v>
      </c>
      <c r="M35" s="111"/>
      <c r="N35" s="89">
        <f>Tabela13[[#This Row],[Št. vzdrž. pregledov/letno]]*Tabela13[[#This Row],[Cena/pregled (požar)]]</f>
        <v>0</v>
      </c>
      <c r="O35" s="55" t="s">
        <v>18</v>
      </c>
      <c r="P35" s="55" t="s">
        <v>18</v>
      </c>
      <c r="Q35" s="55" t="s">
        <v>18</v>
      </c>
      <c r="R35" s="56" t="s">
        <v>18</v>
      </c>
      <c r="S35" s="55" t="s">
        <v>18</v>
      </c>
      <c r="T35" s="56" t="s">
        <v>18</v>
      </c>
      <c r="U35" s="111"/>
      <c r="V35" s="57" t="s">
        <v>18</v>
      </c>
      <c r="W35" s="57" t="s">
        <v>18</v>
      </c>
      <c r="X35" s="57" t="s">
        <v>18</v>
      </c>
      <c r="Y35" s="57" t="s">
        <v>18</v>
      </c>
      <c r="Z35" s="57" t="s">
        <v>18</v>
      </c>
      <c r="AA35" s="111"/>
      <c r="AB35" s="96">
        <f>Tabela13[[#This Row],[Cena/pregled (vlom)]]+Tabela13[[#This Row],[cena/pregled (video)]]</f>
        <v>0</v>
      </c>
      <c r="AC35" s="58" t="s">
        <v>56</v>
      </c>
      <c r="AD35" s="59" t="s">
        <v>10</v>
      </c>
    </row>
    <row r="36" spans="1:30" x14ac:dyDescent="0.3">
      <c r="A36" s="100" t="s">
        <v>149</v>
      </c>
      <c r="B36" s="101"/>
      <c r="C36" s="100"/>
      <c r="D36" s="100"/>
      <c r="E36" s="102"/>
      <c r="F36" s="102"/>
      <c r="G36" s="102"/>
      <c r="H36" s="102"/>
      <c r="I36" s="102"/>
      <c r="J36" s="102"/>
      <c r="K36" s="102"/>
      <c r="L36" s="102"/>
      <c r="M36" s="112">
        <f>SUBTOTAL(109,Tabela13[Cena/pregled (požar)])</f>
        <v>0</v>
      </c>
      <c r="N36" s="103">
        <f>SUBTOTAL(109,Tabela13[cena])</f>
        <v>0</v>
      </c>
      <c r="O36" s="104"/>
      <c r="P36" s="104"/>
      <c r="Q36" s="104"/>
      <c r="R36" s="105"/>
      <c r="S36" s="104"/>
      <c r="T36" s="105"/>
      <c r="U36" s="106">
        <f>SUBTOTAL(109,Tabela13[Cena/pregled (vlom)])</f>
        <v>0</v>
      </c>
      <c r="V36" s="107"/>
      <c r="W36" s="107"/>
      <c r="X36" s="107"/>
      <c r="Y36" s="107"/>
      <c r="Z36" s="107"/>
      <c r="AA36" s="113">
        <f>SUBTOTAL(109,Tabela13[cena/pregled (video)])</f>
        <v>0</v>
      </c>
      <c r="AB36" s="108">
        <f>SUBTOTAL(109,Tabela13[vlom video skupaj])</f>
        <v>0</v>
      </c>
      <c r="AC36" s="109"/>
      <c r="AD36" s="97"/>
    </row>
    <row r="37" spans="1:30" x14ac:dyDescent="0.3">
      <c r="A37" s="60"/>
      <c r="B37" s="61"/>
      <c r="C37" s="60"/>
      <c r="D37" s="62"/>
      <c r="N37" s="63"/>
      <c r="U37" s="63"/>
      <c r="AA37" s="63"/>
      <c r="AB37" s="63"/>
      <c r="AC37" s="64"/>
    </row>
    <row r="38" spans="1:30" x14ac:dyDescent="0.3">
      <c r="A38" s="60"/>
      <c r="B38" s="61"/>
      <c r="C38" s="60"/>
      <c r="D38" s="62"/>
      <c r="N38" s="63"/>
      <c r="U38" s="63"/>
      <c r="AA38" s="63"/>
      <c r="AB38" s="85"/>
      <c r="AC38" s="64"/>
    </row>
    <row r="39" spans="1:30" x14ac:dyDescent="0.3">
      <c r="N39" s="63"/>
      <c r="U39" s="63"/>
      <c r="AA39" s="63"/>
      <c r="AB39" s="85"/>
      <c r="AC39" s="64"/>
    </row>
    <row r="41" spans="1:30" x14ac:dyDescent="0.3">
      <c r="AD41" s="41"/>
    </row>
  </sheetData>
  <mergeCells count="3">
    <mergeCell ref="V2:AA2"/>
    <mergeCell ref="O2:U2"/>
    <mergeCell ref="E2:K2"/>
  </mergeCells>
  <pageMargins left="0" right="0" top="0" bottom="0" header="0" footer="0"/>
  <pageSetup paperSize="8" scale="51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04863651DB9B4C982C552CC5A28ADE" ma:contentTypeVersion="" ma:contentTypeDescription="Ustvari nov dokument." ma:contentTypeScope="" ma:versionID="d33c68935e4111591c5303ad935269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40cad2b6ac3cb284ccba960fd5c4b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81433D-65DF-4F39-8D39-2B5D9B175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27BE47-E2EC-4D44-A3B2-C26E358C8E41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864FFF9-30A7-487E-937B-E693DD72F7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skupaj vsi sklopi</vt:lpstr>
      <vt:lpstr>SKLOP 1</vt:lpstr>
      <vt:lpstr>SKLOP 2 </vt:lpstr>
      <vt:lpstr>SKLOP 3</vt:lpstr>
      <vt:lpstr>SKLOP 4</vt:lpstr>
      <vt:lpstr>Spec. opreme po objektih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 Kop</dc:creator>
  <cp:lastModifiedBy>Uporabnik</cp:lastModifiedBy>
  <cp:lastPrinted>2023-10-23T13:24:35Z</cp:lastPrinted>
  <dcterms:created xsi:type="dcterms:W3CDTF">2022-02-27T20:31:16Z</dcterms:created>
  <dcterms:modified xsi:type="dcterms:W3CDTF">2024-06-12T09:18:28Z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0x0101007104863651DB9B4C982C552CC5A28ADE</vt:lpwstr>
  </property>
</Properties>
</file>